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55" activeTab="6"/>
  </bookViews>
  <sheets>
    <sheet name="муниц" sheetId="1" r:id="rId1"/>
    <sheet name="Лен " sheetId="2" r:id="rId2"/>
    <sheet name="Высокор" sheetId="3" r:id="rId3"/>
    <sheet name="Гост" sheetId="6" r:id="rId4"/>
    <sheet name="Новотр" sheetId="8" r:id="rId5"/>
    <sheet name="Черн" sheetId="7" r:id="rId6"/>
    <sheet name="консолид" sheetId="9" r:id="rId7"/>
  </sheets>
  <definedNames>
    <definedName name="_xlnm.Print_Area" localSheetId="6">консолид!$A$1:$S$53</definedName>
    <definedName name="_xlnm.Print_Area" localSheetId="0">муниц!$A$1:$S$53</definedName>
    <definedName name="_xlnm.Print_Area" localSheetId="5">Черн!$A$1:$R$40</definedName>
  </definedNames>
  <calcPr calcId="125725"/>
</workbook>
</file>

<file path=xl/calcChain.xml><?xml version="1.0" encoding="utf-8"?>
<calcChain xmlns="http://schemas.openxmlformats.org/spreadsheetml/2006/main">
  <c r="Q18" i="7"/>
  <c r="Q17"/>
  <c r="Q15"/>
  <c r="Q10"/>
  <c r="Q18" i="8"/>
  <c r="Q17"/>
  <c r="Q15"/>
  <c r="Q10"/>
  <c r="Q18" i="6"/>
  <c r="Q17"/>
  <c r="Q15"/>
  <c r="Q10"/>
  <c r="Q18" i="3"/>
  <c r="Q17"/>
  <c r="Q15"/>
  <c r="Q10"/>
  <c r="Q19" i="2"/>
  <c r="Q18"/>
  <c r="Q16"/>
  <c r="Q11"/>
  <c r="Q15" i="1"/>
  <c r="Q10"/>
  <c r="R27"/>
  <c r="Q25" i="2"/>
  <c r="Q24"/>
  <c r="Q6"/>
  <c r="Q5" s="1"/>
  <c r="Q27" i="1"/>
  <c r="Q25"/>
  <c r="Q24" s="1"/>
  <c r="Q5"/>
  <c r="D47" i="9"/>
  <c r="M49"/>
  <c r="D49"/>
  <c r="D38" i="8"/>
  <c r="D38" i="3"/>
  <c r="D38" i="7"/>
  <c r="Q4" i="1" l="1"/>
  <c r="K33" i="9"/>
  <c r="K25" i="7"/>
  <c r="K24"/>
  <c r="K18"/>
  <c r="K17"/>
  <c r="K15"/>
  <c r="K10"/>
  <c r="K25" i="8"/>
  <c r="K24"/>
  <c r="K18"/>
  <c r="K17"/>
  <c r="K15"/>
  <c r="K10"/>
  <c r="K25" i="6"/>
  <c r="K24" s="1"/>
  <c r="K18"/>
  <c r="K17" s="1"/>
  <c r="K15"/>
  <c r="K10"/>
  <c r="K25" i="3" l="1"/>
  <c r="K24"/>
  <c r="K18"/>
  <c r="K17"/>
  <c r="K15"/>
  <c r="K10"/>
  <c r="K39" i="2"/>
  <c r="K34"/>
  <c r="K31"/>
  <c r="K25"/>
  <c r="K24"/>
  <c r="K19"/>
  <c r="K18"/>
  <c r="K16"/>
  <c r="K41" i="1"/>
  <c r="K37"/>
  <c r="K33"/>
  <c r="K15"/>
  <c r="N33" i="9"/>
  <c r="N25" i="7"/>
  <c r="N24"/>
  <c r="N18"/>
  <c r="N17"/>
  <c r="N15"/>
  <c r="N10"/>
  <c r="N25" i="8"/>
  <c r="N24"/>
  <c r="N18"/>
  <c r="N17"/>
  <c r="N15"/>
  <c r="N10"/>
  <c r="N25" i="6"/>
  <c r="N24"/>
  <c r="N18"/>
  <c r="N17"/>
  <c r="N15"/>
  <c r="N10"/>
  <c r="N25" i="3"/>
  <c r="N24"/>
  <c r="N18"/>
  <c r="N17"/>
  <c r="N15"/>
  <c r="N10"/>
  <c r="N39" i="2"/>
  <c r="N34"/>
  <c r="N31"/>
  <c r="N19"/>
  <c r="N18"/>
  <c r="N16"/>
  <c r="N41" i="1"/>
  <c r="N37"/>
  <c r="N33"/>
  <c r="N15"/>
  <c r="M51" i="9"/>
  <c r="M50"/>
  <c r="G51"/>
  <c r="G50"/>
  <c r="L50"/>
  <c r="C51"/>
  <c r="C50"/>
  <c r="O40" i="8"/>
  <c r="L40"/>
  <c r="H40"/>
  <c r="I40" s="1"/>
  <c r="G41"/>
  <c r="F41"/>
  <c r="D41"/>
  <c r="C41"/>
  <c r="E40"/>
  <c r="O40" i="3"/>
  <c r="L40"/>
  <c r="H40"/>
  <c r="I40" s="1"/>
  <c r="E40"/>
  <c r="G41"/>
  <c r="F41"/>
  <c r="D41"/>
  <c r="C41"/>
  <c r="G49" i="9"/>
  <c r="D47" i="1"/>
  <c r="G46" l="1"/>
  <c r="O35" i="7"/>
  <c r="L35"/>
  <c r="H35"/>
  <c r="I35" s="1"/>
  <c r="O36" i="6"/>
  <c r="L36"/>
  <c r="H36"/>
  <c r="O35" i="3"/>
  <c r="L35"/>
  <c r="H35"/>
  <c r="I35" s="1"/>
  <c r="G47" i="9"/>
  <c r="M47"/>
  <c r="O35" i="8" l="1"/>
  <c r="L35"/>
  <c r="H35"/>
  <c r="I35" s="1"/>
  <c r="P18"/>
  <c r="P17"/>
  <c r="P15"/>
  <c r="P10"/>
  <c r="P18" i="3"/>
  <c r="P17"/>
  <c r="P15"/>
  <c r="P10"/>
  <c r="N32"/>
  <c r="G32" i="7" l="1"/>
  <c r="G25"/>
  <c r="G24" s="1"/>
  <c r="G18"/>
  <c r="G17" s="1"/>
  <c r="G15"/>
  <c r="G10"/>
  <c r="G32" i="8"/>
  <c r="G25"/>
  <c r="G24" s="1"/>
  <c r="G18"/>
  <c r="G17" s="1"/>
  <c r="G15"/>
  <c r="G10"/>
  <c r="G33" i="6"/>
  <c r="G25"/>
  <c r="G24" s="1"/>
  <c r="G18"/>
  <c r="G17" s="1"/>
  <c r="G15"/>
  <c r="G10"/>
  <c r="G32" i="3"/>
  <c r="G25"/>
  <c r="G24" s="1"/>
  <c r="G18"/>
  <c r="G17" s="1"/>
  <c r="G15"/>
  <c r="G10"/>
  <c r="G39" i="2"/>
  <c r="G34"/>
  <c r="G31"/>
  <c r="G25"/>
  <c r="G19"/>
  <c r="G18" s="1"/>
  <c r="G16"/>
  <c r="G11"/>
  <c r="G41" i="1"/>
  <c r="G37"/>
  <c r="G33"/>
  <c r="G25"/>
  <c r="G24" s="1"/>
  <c r="G15"/>
  <c r="G10"/>
  <c r="P27"/>
  <c r="K32" i="7"/>
  <c r="K32" i="8"/>
  <c r="K33" i="6"/>
  <c r="K32" i="3"/>
  <c r="K11" i="2"/>
  <c r="K25" i="1"/>
  <c r="K24" s="1"/>
  <c r="K10"/>
  <c r="D10" i="9"/>
  <c r="E10" s="1"/>
  <c r="I10" s="1"/>
  <c r="G10"/>
  <c r="K10"/>
  <c r="L10" s="1"/>
  <c r="N10"/>
  <c r="M10"/>
  <c r="I10" i="2"/>
  <c r="H10"/>
  <c r="N6"/>
  <c r="M6"/>
  <c r="G6"/>
  <c r="G5" i="1"/>
  <c r="I9"/>
  <c r="H9"/>
  <c r="M5"/>
  <c r="C49" i="9"/>
  <c r="G24" i="2" l="1"/>
  <c r="H10" i="9"/>
  <c r="C47"/>
  <c r="N32" i="7"/>
  <c r="M32"/>
  <c r="F32"/>
  <c r="E32"/>
  <c r="D32"/>
  <c r="C32"/>
  <c r="E35"/>
  <c r="C18"/>
  <c r="C17" s="1"/>
  <c r="C15"/>
  <c r="C10"/>
  <c r="N32" i="8"/>
  <c r="M32"/>
  <c r="F32"/>
  <c r="E32"/>
  <c r="D32"/>
  <c r="E35"/>
  <c r="C32"/>
  <c r="C18"/>
  <c r="C17"/>
  <c r="C15"/>
  <c r="C10"/>
  <c r="N33" i="6"/>
  <c r="M33"/>
  <c r="D33"/>
  <c r="E36"/>
  <c r="I36" s="1"/>
  <c r="C33"/>
  <c r="E33" l="1"/>
  <c r="C18"/>
  <c r="C17" s="1"/>
  <c r="C15"/>
  <c r="C10"/>
  <c r="M32" i="3"/>
  <c r="E32"/>
  <c r="D32"/>
  <c r="E35"/>
  <c r="C32"/>
  <c r="R18" i="8"/>
  <c r="R17" s="1"/>
  <c r="R15"/>
  <c r="R10"/>
  <c r="N11" i="2" l="1"/>
  <c r="N10" i="1"/>
  <c r="M31" i="9"/>
  <c r="G31"/>
  <c r="H20" i="3" l="1"/>
  <c r="N25" i="2"/>
  <c r="N24" s="1"/>
  <c r="H50" i="1"/>
  <c r="H8"/>
  <c r="O15" i="7"/>
  <c r="O49" i="9"/>
  <c r="Q34"/>
  <c r="R34"/>
  <c r="Q25" i="8"/>
  <c r="Q24"/>
  <c r="M10" i="6"/>
  <c r="N25" i="1"/>
  <c r="Q6" i="6"/>
  <c r="Q5" s="1"/>
  <c r="Q37" s="1"/>
  <c r="Q41" s="1"/>
  <c r="Q6" i="3"/>
  <c r="N31" i="9"/>
  <c r="K31"/>
  <c r="H31"/>
  <c r="D50"/>
  <c r="D51"/>
  <c r="G33"/>
  <c r="M33"/>
  <c r="M39" i="2"/>
  <c r="O44" i="1"/>
  <c r="H44"/>
  <c r="L44" s="1"/>
  <c r="H42" i="2"/>
  <c r="E42"/>
  <c r="E39"/>
  <c r="D39"/>
  <c r="K7" i="9"/>
  <c r="K8"/>
  <c r="K9"/>
  <c r="K12"/>
  <c r="K13"/>
  <c r="K14"/>
  <c r="K15"/>
  <c r="L15" s="1"/>
  <c r="K17"/>
  <c r="K18"/>
  <c r="K19"/>
  <c r="K20"/>
  <c r="K21"/>
  <c r="K23"/>
  <c r="K24"/>
  <c r="K26"/>
  <c r="K27"/>
  <c r="L27" s="1"/>
  <c r="K30"/>
  <c r="L30" s="1"/>
  <c r="K32"/>
  <c r="K34"/>
  <c r="K35"/>
  <c r="K37"/>
  <c r="K38"/>
  <c r="K39"/>
  <c r="K41"/>
  <c r="K42"/>
  <c r="K43"/>
  <c r="K45"/>
  <c r="G52"/>
  <c r="P18" i="7"/>
  <c r="P17" s="1"/>
  <c r="P5" s="1"/>
  <c r="P36" s="1"/>
  <c r="P40" s="1"/>
  <c r="P15"/>
  <c r="P10"/>
  <c r="P18" i="6"/>
  <c r="P17" s="1"/>
  <c r="P15"/>
  <c r="P10"/>
  <c r="P25" i="2"/>
  <c r="P24" s="1"/>
  <c r="P19"/>
  <c r="P18" s="1"/>
  <c r="P16"/>
  <c r="P11"/>
  <c r="P25" i="1"/>
  <c r="P24" s="1"/>
  <c r="P15"/>
  <c r="P10"/>
  <c r="O51" i="9"/>
  <c r="H31" i="1"/>
  <c r="E44"/>
  <c r="E50" i="9"/>
  <c r="C18" i="3"/>
  <c r="C25" i="9" s="1"/>
  <c r="C33"/>
  <c r="C31"/>
  <c r="M41" i="1"/>
  <c r="O41" s="1"/>
  <c r="F41"/>
  <c r="D41"/>
  <c r="C41"/>
  <c r="L52" i="9"/>
  <c r="K5" i="1"/>
  <c r="Q33"/>
  <c r="C39" i="2"/>
  <c r="C34"/>
  <c r="C31"/>
  <c r="C25"/>
  <c r="C19"/>
  <c r="C18" s="1"/>
  <c r="C5" s="1"/>
  <c r="C16"/>
  <c r="C11"/>
  <c r="L15" i="6"/>
  <c r="P34" i="9"/>
  <c r="D33"/>
  <c r="O30" i="1"/>
  <c r="H30"/>
  <c r="L30" s="1"/>
  <c r="E30"/>
  <c r="D20" i="9"/>
  <c r="R18" i="7"/>
  <c r="R17"/>
  <c r="R5"/>
  <c r="R36"/>
  <c r="R40"/>
  <c r="R15"/>
  <c r="R10"/>
  <c r="R18" i="6"/>
  <c r="R17"/>
  <c r="R15"/>
  <c r="R10"/>
  <c r="R18" i="3"/>
  <c r="R17" s="1"/>
  <c r="R15"/>
  <c r="R10"/>
  <c r="R25" i="2"/>
  <c r="R24" s="1"/>
  <c r="R43" s="1"/>
  <c r="R49" s="1"/>
  <c r="R19"/>
  <c r="R18"/>
  <c r="R16"/>
  <c r="R11"/>
  <c r="R25" i="1"/>
  <c r="R24" s="1"/>
  <c r="R45" s="1"/>
  <c r="R52" s="1"/>
  <c r="R15"/>
  <c r="R10"/>
  <c r="E47"/>
  <c r="D52" i="9"/>
  <c r="E52" s="1"/>
  <c r="E22" i="1"/>
  <c r="H20" i="7"/>
  <c r="L20" s="1"/>
  <c r="H19"/>
  <c r="L19" s="1"/>
  <c r="E20" i="2"/>
  <c r="H6" i="1"/>
  <c r="M13" i="9"/>
  <c r="M14"/>
  <c r="M15"/>
  <c r="M12"/>
  <c r="M15" i="1"/>
  <c r="E28" i="7"/>
  <c r="M11" i="2"/>
  <c r="O11" s="1"/>
  <c r="M37" i="1"/>
  <c r="O37" s="1"/>
  <c r="E7" i="7"/>
  <c r="H28" i="2"/>
  <c r="E39" i="6"/>
  <c r="M33" i="1"/>
  <c r="O33" s="1"/>
  <c r="M52" i="9"/>
  <c r="H47" i="2"/>
  <c r="E47"/>
  <c r="I47"/>
  <c r="M15" i="6"/>
  <c r="M18"/>
  <c r="M17" s="1"/>
  <c r="M25"/>
  <c r="O33"/>
  <c r="M10" i="3"/>
  <c r="M15"/>
  <c r="M18"/>
  <c r="M17" s="1"/>
  <c r="M25"/>
  <c r="M24" s="1"/>
  <c r="M25" i="2"/>
  <c r="F25"/>
  <c r="J25"/>
  <c r="D25"/>
  <c r="E28"/>
  <c r="R6" i="7"/>
  <c r="Q6"/>
  <c r="Q5" s="1"/>
  <c r="Q36" s="1"/>
  <c r="Q40" s="1"/>
  <c r="P6"/>
  <c r="N6"/>
  <c r="N5" s="1"/>
  <c r="N36" s="1"/>
  <c r="N37" s="1"/>
  <c r="M6"/>
  <c r="K6"/>
  <c r="K5" s="1"/>
  <c r="K36" s="1"/>
  <c r="K37" s="1"/>
  <c r="G6"/>
  <c r="F6"/>
  <c r="D6"/>
  <c r="C6"/>
  <c r="R6" i="8"/>
  <c r="Q6"/>
  <c r="P6"/>
  <c r="P5" s="1"/>
  <c r="P36" s="1"/>
  <c r="P41" s="1"/>
  <c r="N6"/>
  <c r="M6"/>
  <c r="G6"/>
  <c r="F6"/>
  <c r="J6"/>
  <c r="D6"/>
  <c r="C6"/>
  <c r="R6" i="6"/>
  <c r="P6"/>
  <c r="N6"/>
  <c r="M6"/>
  <c r="K6"/>
  <c r="K5" s="1"/>
  <c r="K37" s="1"/>
  <c r="K38" s="1"/>
  <c r="G6"/>
  <c r="D6"/>
  <c r="C6"/>
  <c r="R6" i="3"/>
  <c r="P6"/>
  <c r="N6"/>
  <c r="M6"/>
  <c r="K6"/>
  <c r="K5" s="1"/>
  <c r="G6"/>
  <c r="D6"/>
  <c r="C6"/>
  <c r="E38"/>
  <c r="E41" s="1"/>
  <c r="E48" i="2"/>
  <c r="E49" i="1"/>
  <c r="R20" i="9"/>
  <c r="R27"/>
  <c r="D38"/>
  <c r="O15" i="6"/>
  <c r="D41" i="9"/>
  <c r="D34"/>
  <c r="M19" i="2"/>
  <c r="M18" s="1"/>
  <c r="P32" i="9"/>
  <c r="P25" i="8"/>
  <c r="R25"/>
  <c r="D31" i="9"/>
  <c r="Q7"/>
  <c r="Q8"/>
  <c r="Q9"/>
  <c r="Q12"/>
  <c r="Q13"/>
  <c r="Q14"/>
  <c r="Q15"/>
  <c r="Q17"/>
  <c r="Q18"/>
  <c r="Q19"/>
  <c r="Q20"/>
  <c r="Q21"/>
  <c r="Q23"/>
  <c r="Q24"/>
  <c r="Q27"/>
  <c r="Q32"/>
  <c r="M21"/>
  <c r="M20"/>
  <c r="M19"/>
  <c r="E34" i="1"/>
  <c r="D18" i="9"/>
  <c r="H49" i="1"/>
  <c r="L49" s="1"/>
  <c r="H48" i="2"/>
  <c r="N38" i="9"/>
  <c r="C38"/>
  <c r="R34" i="2"/>
  <c r="Q34"/>
  <c r="P34"/>
  <c r="M34"/>
  <c r="O34" s="1"/>
  <c r="D34"/>
  <c r="O32"/>
  <c r="R31"/>
  <c r="Q31"/>
  <c r="P31"/>
  <c r="M31"/>
  <c r="O31" s="1"/>
  <c r="D31"/>
  <c r="N42" i="9"/>
  <c r="M42"/>
  <c r="G42"/>
  <c r="D42"/>
  <c r="D40" s="1"/>
  <c r="C42"/>
  <c r="O37" i="2"/>
  <c r="H37"/>
  <c r="L37" s="1"/>
  <c r="J37"/>
  <c r="E37"/>
  <c r="I37" s="1"/>
  <c r="D37" i="9"/>
  <c r="H47" i="1"/>
  <c r="M38" i="9"/>
  <c r="G38"/>
  <c r="H32" i="2"/>
  <c r="E32"/>
  <c r="D43" i="9"/>
  <c r="M25" i="1"/>
  <c r="O25" s="1"/>
  <c r="O51"/>
  <c r="E38" i="2"/>
  <c r="E36"/>
  <c r="E28" i="3"/>
  <c r="H7" i="2"/>
  <c r="M35" i="9"/>
  <c r="E28" i="8"/>
  <c r="M18"/>
  <c r="M17" s="1"/>
  <c r="G7" i="9"/>
  <c r="G12"/>
  <c r="G13"/>
  <c r="G14"/>
  <c r="G15"/>
  <c r="G17"/>
  <c r="G18"/>
  <c r="G19"/>
  <c r="G21"/>
  <c r="G23"/>
  <c r="G24"/>
  <c r="G26"/>
  <c r="G32"/>
  <c r="G34"/>
  <c r="G35"/>
  <c r="G37"/>
  <c r="F16" i="1"/>
  <c r="F17" i="9"/>
  <c r="F21" i="1"/>
  <c r="F24" i="9"/>
  <c r="F18" i="1"/>
  <c r="F19" i="9"/>
  <c r="F17" i="1"/>
  <c r="F18" i="9"/>
  <c r="F6" i="1"/>
  <c r="F7" i="9"/>
  <c r="C7"/>
  <c r="M7"/>
  <c r="N7"/>
  <c r="P7"/>
  <c r="R7"/>
  <c r="C8"/>
  <c r="D8"/>
  <c r="G8"/>
  <c r="M8"/>
  <c r="N8"/>
  <c r="P8"/>
  <c r="R8"/>
  <c r="C9"/>
  <c r="D9"/>
  <c r="G9"/>
  <c r="M9"/>
  <c r="N9"/>
  <c r="P9"/>
  <c r="R9"/>
  <c r="C12"/>
  <c r="D12"/>
  <c r="F12"/>
  <c r="J12" s="1"/>
  <c r="N12"/>
  <c r="P12"/>
  <c r="R12"/>
  <c r="C13"/>
  <c r="D13"/>
  <c r="F13"/>
  <c r="J13" s="1"/>
  <c r="N13"/>
  <c r="P13"/>
  <c r="R13"/>
  <c r="C14"/>
  <c r="D14"/>
  <c r="F14"/>
  <c r="J14" s="1"/>
  <c r="N14"/>
  <c r="P14"/>
  <c r="R14"/>
  <c r="C15"/>
  <c r="D15"/>
  <c r="F15"/>
  <c r="J15" s="1"/>
  <c r="N15"/>
  <c r="O15" s="1"/>
  <c r="P15"/>
  <c r="R15"/>
  <c r="C17"/>
  <c r="E17" s="1"/>
  <c r="D17"/>
  <c r="M17"/>
  <c r="N17"/>
  <c r="P17"/>
  <c r="R17"/>
  <c r="C18"/>
  <c r="M18"/>
  <c r="N18"/>
  <c r="P18"/>
  <c r="R18"/>
  <c r="C19"/>
  <c r="D19"/>
  <c r="E19" s="1"/>
  <c r="I19" s="1"/>
  <c r="N19"/>
  <c r="P19"/>
  <c r="R19"/>
  <c r="C20"/>
  <c r="E20" s="1"/>
  <c r="G20"/>
  <c r="N20"/>
  <c r="P20"/>
  <c r="C21"/>
  <c r="D21"/>
  <c r="N21"/>
  <c r="P21"/>
  <c r="R21"/>
  <c r="C23"/>
  <c r="D23"/>
  <c r="F23"/>
  <c r="M23"/>
  <c r="N23"/>
  <c r="P23"/>
  <c r="R23"/>
  <c r="C24"/>
  <c r="D24"/>
  <c r="M24"/>
  <c r="N24"/>
  <c r="P24"/>
  <c r="R24"/>
  <c r="C26"/>
  <c r="M26"/>
  <c r="N26"/>
  <c r="C27"/>
  <c r="D27"/>
  <c r="F27"/>
  <c r="J27" s="1"/>
  <c r="G27"/>
  <c r="M27"/>
  <c r="N27"/>
  <c r="O27" s="1"/>
  <c r="P27"/>
  <c r="C30"/>
  <c r="E30" s="1"/>
  <c r="I30" s="1"/>
  <c r="D30"/>
  <c r="F30"/>
  <c r="J30" s="1"/>
  <c r="G30"/>
  <c r="M30"/>
  <c r="N30"/>
  <c r="O30" s="1"/>
  <c r="R31"/>
  <c r="C32"/>
  <c r="D32"/>
  <c r="M32"/>
  <c r="N32"/>
  <c r="R32"/>
  <c r="F33"/>
  <c r="J33" s="1"/>
  <c r="C34"/>
  <c r="F34"/>
  <c r="J34" s="1"/>
  <c r="M34"/>
  <c r="N34"/>
  <c r="C35"/>
  <c r="D35"/>
  <c r="E35" s="1"/>
  <c r="N35"/>
  <c r="P36"/>
  <c r="Q36"/>
  <c r="R36"/>
  <c r="C37"/>
  <c r="M37"/>
  <c r="N37"/>
  <c r="C39"/>
  <c r="F39"/>
  <c r="J39" s="1"/>
  <c r="G39"/>
  <c r="M39"/>
  <c r="N39"/>
  <c r="C41"/>
  <c r="F41"/>
  <c r="J41" s="1"/>
  <c r="G41"/>
  <c r="M41"/>
  <c r="N41"/>
  <c r="F42"/>
  <c r="J42" s="1"/>
  <c r="C43"/>
  <c r="G43"/>
  <c r="M43"/>
  <c r="N43"/>
  <c r="P44"/>
  <c r="Q44"/>
  <c r="R44"/>
  <c r="E45"/>
  <c r="I45" s="1"/>
  <c r="G45"/>
  <c r="J45"/>
  <c r="M45"/>
  <c r="N45"/>
  <c r="C46"/>
  <c r="C44" s="1"/>
  <c r="D46"/>
  <c r="D44" s="1"/>
  <c r="F46"/>
  <c r="F44" s="1"/>
  <c r="J44" s="1"/>
  <c r="G46"/>
  <c r="M46"/>
  <c r="F51"/>
  <c r="J51" s="1"/>
  <c r="J6" i="7"/>
  <c r="H7"/>
  <c r="L7" s="1"/>
  <c r="J7"/>
  <c r="O7"/>
  <c r="E8"/>
  <c r="H8"/>
  <c r="I8"/>
  <c r="J8"/>
  <c r="L8"/>
  <c r="O8"/>
  <c r="E9"/>
  <c r="H9"/>
  <c r="I9"/>
  <c r="L9"/>
  <c r="J9"/>
  <c r="O9"/>
  <c r="D10"/>
  <c r="F10"/>
  <c r="J10"/>
  <c r="M10"/>
  <c r="O10" s="1"/>
  <c r="E11"/>
  <c r="E10" s="1"/>
  <c r="H11"/>
  <c r="J11"/>
  <c r="O11"/>
  <c r="E12"/>
  <c r="H12"/>
  <c r="L12" s="1"/>
  <c r="J12"/>
  <c r="O12"/>
  <c r="E13"/>
  <c r="H13"/>
  <c r="L13" s="1"/>
  <c r="J13"/>
  <c r="O13"/>
  <c r="E14"/>
  <c r="H14"/>
  <c r="J14"/>
  <c r="L14"/>
  <c r="O14"/>
  <c r="D15"/>
  <c r="F15"/>
  <c r="J15" s="1"/>
  <c r="M15"/>
  <c r="E16"/>
  <c r="E15" s="1"/>
  <c r="H16"/>
  <c r="H15"/>
  <c r="J16"/>
  <c r="O16"/>
  <c r="D18"/>
  <c r="D17" s="1"/>
  <c r="D5" s="1"/>
  <c r="F18"/>
  <c r="J18"/>
  <c r="M18"/>
  <c r="M17" s="1"/>
  <c r="E19"/>
  <c r="J19"/>
  <c r="O19"/>
  <c r="E20"/>
  <c r="E18" s="1"/>
  <c r="E17" s="1"/>
  <c r="J20"/>
  <c r="O20"/>
  <c r="E21"/>
  <c r="H21"/>
  <c r="L21" s="1"/>
  <c r="J21"/>
  <c r="O21"/>
  <c r="E22"/>
  <c r="H22"/>
  <c r="L22" s="1"/>
  <c r="J22"/>
  <c r="O22"/>
  <c r="E23"/>
  <c r="H23"/>
  <c r="I23"/>
  <c r="J23"/>
  <c r="L23"/>
  <c r="O23"/>
  <c r="C25"/>
  <c r="D25"/>
  <c r="F25"/>
  <c r="J25"/>
  <c r="M25"/>
  <c r="P25"/>
  <c r="Q25"/>
  <c r="R25"/>
  <c r="E26"/>
  <c r="I26"/>
  <c r="H26"/>
  <c r="L26"/>
  <c r="J26"/>
  <c r="O26"/>
  <c r="E27"/>
  <c r="H27"/>
  <c r="L27" s="1"/>
  <c r="J27"/>
  <c r="O27"/>
  <c r="H28"/>
  <c r="I28" s="1"/>
  <c r="J28"/>
  <c r="O28"/>
  <c r="E29"/>
  <c r="I29"/>
  <c r="H29"/>
  <c r="J29"/>
  <c r="L29"/>
  <c r="O29"/>
  <c r="E30"/>
  <c r="H30"/>
  <c r="I30"/>
  <c r="J30"/>
  <c r="L30"/>
  <c r="O30"/>
  <c r="E31"/>
  <c r="H31"/>
  <c r="L31"/>
  <c r="I31"/>
  <c r="J31"/>
  <c r="O31"/>
  <c r="J32"/>
  <c r="O32"/>
  <c r="P32"/>
  <c r="Q32"/>
  <c r="R32"/>
  <c r="E33"/>
  <c r="I33"/>
  <c r="H33"/>
  <c r="L33"/>
  <c r="J33"/>
  <c r="O33"/>
  <c r="E34"/>
  <c r="I34" s="1"/>
  <c r="H34"/>
  <c r="L34" s="1"/>
  <c r="J34"/>
  <c r="O34"/>
  <c r="E38"/>
  <c r="H38"/>
  <c r="L38" s="1"/>
  <c r="J38"/>
  <c r="O38"/>
  <c r="E39"/>
  <c r="H39"/>
  <c r="I39"/>
  <c r="J39"/>
  <c r="O39"/>
  <c r="K6" i="8"/>
  <c r="K5" s="1"/>
  <c r="K36" s="1"/>
  <c r="H7"/>
  <c r="L7" s="1"/>
  <c r="J7"/>
  <c r="O7"/>
  <c r="E8"/>
  <c r="H8"/>
  <c r="I8"/>
  <c r="J8"/>
  <c r="O8"/>
  <c r="E9"/>
  <c r="H9"/>
  <c r="L9"/>
  <c r="J9"/>
  <c r="O9"/>
  <c r="D10"/>
  <c r="J10"/>
  <c r="M10"/>
  <c r="E11"/>
  <c r="H11"/>
  <c r="L11" s="1"/>
  <c r="J11"/>
  <c r="O11"/>
  <c r="E12"/>
  <c r="H12"/>
  <c r="L12" s="1"/>
  <c r="J12"/>
  <c r="O12"/>
  <c r="E13"/>
  <c r="H13"/>
  <c r="L13" s="1"/>
  <c r="J13"/>
  <c r="O13"/>
  <c r="E14"/>
  <c r="I14" s="1"/>
  <c r="H14"/>
  <c r="J14"/>
  <c r="L14"/>
  <c r="O14"/>
  <c r="D15"/>
  <c r="F15"/>
  <c r="J15"/>
  <c r="M15"/>
  <c r="E16"/>
  <c r="E15" s="1"/>
  <c r="H16"/>
  <c r="L16" s="1"/>
  <c r="J16"/>
  <c r="O16"/>
  <c r="D18"/>
  <c r="D17" s="1"/>
  <c r="D5" s="1"/>
  <c r="F18"/>
  <c r="F17"/>
  <c r="F5" s="1"/>
  <c r="E19"/>
  <c r="H19"/>
  <c r="L19" s="1"/>
  <c r="J19"/>
  <c r="O19"/>
  <c r="E20"/>
  <c r="H20"/>
  <c r="J20"/>
  <c r="O20"/>
  <c r="E21"/>
  <c r="H21"/>
  <c r="J21"/>
  <c r="O21"/>
  <c r="E22"/>
  <c r="H22"/>
  <c r="J22"/>
  <c r="O22"/>
  <c r="E23"/>
  <c r="H23"/>
  <c r="I23"/>
  <c r="J23"/>
  <c r="L23"/>
  <c r="O23"/>
  <c r="C25"/>
  <c r="C24" s="1"/>
  <c r="D25"/>
  <c r="F25"/>
  <c r="J25"/>
  <c r="M25"/>
  <c r="E26"/>
  <c r="I26" s="1"/>
  <c r="H26"/>
  <c r="L26"/>
  <c r="J26"/>
  <c r="O26"/>
  <c r="E27"/>
  <c r="H27"/>
  <c r="J27"/>
  <c r="O27"/>
  <c r="H28"/>
  <c r="L28" s="1"/>
  <c r="J28"/>
  <c r="O28"/>
  <c r="E29"/>
  <c r="I29"/>
  <c r="H29"/>
  <c r="L29"/>
  <c r="J29"/>
  <c r="O29"/>
  <c r="E30"/>
  <c r="I30"/>
  <c r="H30"/>
  <c r="L30"/>
  <c r="J30"/>
  <c r="O30"/>
  <c r="E31"/>
  <c r="I31"/>
  <c r="H31"/>
  <c r="L31"/>
  <c r="J31"/>
  <c r="O31"/>
  <c r="D24"/>
  <c r="J32"/>
  <c r="P32"/>
  <c r="Q32"/>
  <c r="R32"/>
  <c r="E33"/>
  <c r="I33"/>
  <c r="H33"/>
  <c r="L33"/>
  <c r="J33"/>
  <c r="O33"/>
  <c r="E34"/>
  <c r="I34" s="1"/>
  <c r="H34"/>
  <c r="L34"/>
  <c r="J34"/>
  <c r="O34"/>
  <c r="H38"/>
  <c r="J38"/>
  <c r="O38"/>
  <c r="E39"/>
  <c r="H39"/>
  <c r="L39" s="1"/>
  <c r="J39"/>
  <c r="O39"/>
  <c r="F6" i="6"/>
  <c r="J6"/>
  <c r="H7"/>
  <c r="L7" s="1"/>
  <c r="J7"/>
  <c r="O7"/>
  <c r="E8"/>
  <c r="I8" s="1"/>
  <c r="H8"/>
  <c r="L8"/>
  <c r="J8"/>
  <c r="O8"/>
  <c r="E9"/>
  <c r="H9"/>
  <c r="L9" s="1"/>
  <c r="J9"/>
  <c r="O9"/>
  <c r="D10"/>
  <c r="J10"/>
  <c r="E11"/>
  <c r="H11"/>
  <c r="L11" s="1"/>
  <c r="O11"/>
  <c r="E12"/>
  <c r="H12"/>
  <c r="L12" s="1"/>
  <c r="O12"/>
  <c r="E13"/>
  <c r="H13"/>
  <c r="I13" s="1"/>
  <c r="O13"/>
  <c r="E14"/>
  <c r="H14"/>
  <c r="L14"/>
  <c r="O14"/>
  <c r="D15"/>
  <c r="F15"/>
  <c r="J15" s="1"/>
  <c r="E16"/>
  <c r="E15" s="1"/>
  <c r="I15" s="1"/>
  <c r="H16"/>
  <c r="H15"/>
  <c r="J16"/>
  <c r="L16"/>
  <c r="O16"/>
  <c r="D18"/>
  <c r="D17" s="1"/>
  <c r="D5" s="1"/>
  <c r="F18"/>
  <c r="F17"/>
  <c r="E19"/>
  <c r="H19"/>
  <c r="L19" s="1"/>
  <c r="J19"/>
  <c r="O19"/>
  <c r="E20"/>
  <c r="H20"/>
  <c r="H18" s="1"/>
  <c r="J20"/>
  <c r="O20"/>
  <c r="E21"/>
  <c r="H21"/>
  <c r="L21" s="1"/>
  <c r="J21"/>
  <c r="O21"/>
  <c r="E22"/>
  <c r="H22"/>
  <c r="L22" s="1"/>
  <c r="J22"/>
  <c r="O22"/>
  <c r="E23"/>
  <c r="H23"/>
  <c r="I23"/>
  <c r="J23"/>
  <c r="L23"/>
  <c r="O23"/>
  <c r="C25"/>
  <c r="D25"/>
  <c r="D24" s="1"/>
  <c r="F25"/>
  <c r="P25"/>
  <c r="P24"/>
  <c r="Q25"/>
  <c r="Q24"/>
  <c r="R25"/>
  <c r="R24"/>
  <c r="E26"/>
  <c r="I26"/>
  <c r="H26"/>
  <c r="L26"/>
  <c r="J26"/>
  <c r="O26"/>
  <c r="E27"/>
  <c r="I27"/>
  <c r="H27"/>
  <c r="L27"/>
  <c r="J27"/>
  <c r="O27"/>
  <c r="E28"/>
  <c r="H28"/>
  <c r="J28"/>
  <c r="O28"/>
  <c r="E29"/>
  <c r="H29"/>
  <c r="L29" s="1"/>
  <c r="J29"/>
  <c r="O29"/>
  <c r="E30"/>
  <c r="H30"/>
  <c r="I30"/>
  <c r="L30"/>
  <c r="O30"/>
  <c r="E31"/>
  <c r="H31"/>
  <c r="I31"/>
  <c r="J31"/>
  <c r="L31"/>
  <c r="O31"/>
  <c r="E32"/>
  <c r="H32"/>
  <c r="I32"/>
  <c r="J32"/>
  <c r="L32"/>
  <c r="O32"/>
  <c r="F33"/>
  <c r="J33"/>
  <c r="P33"/>
  <c r="Q33"/>
  <c r="R33"/>
  <c r="E34"/>
  <c r="H34"/>
  <c r="I34"/>
  <c r="J34"/>
  <c r="L34"/>
  <c r="O34"/>
  <c r="E35"/>
  <c r="H35"/>
  <c r="I35"/>
  <c r="J35"/>
  <c r="O35"/>
  <c r="H39"/>
  <c r="L39" s="1"/>
  <c r="J39"/>
  <c r="O39"/>
  <c r="E40"/>
  <c r="H40"/>
  <c r="I40"/>
  <c r="L40"/>
  <c r="O40"/>
  <c r="F6" i="3"/>
  <c r="J6"/>
  <c r="E7"/>
  <c r="H7"/>
  <c r="L7" s="1"/>
  <c r="J7"/>
  <c r="O7"/>
  <c r="E8"/>
  <c r="H8"/>
  <c r="I8"/>
  <c r="J8"/>
  <c r="L8"/>
  <c r="O8"/>
  <c r="E9"/>
  <c r="H9"/>
  <c r="L9" s="1"/>
  <c r="J9"/>
  <c r="O9"/>
  <c r="C10"/>
  <c r="D10"/>
  <c r="J10"/>
  <c r="E11"/>
  <c r="H11"/>
  <c r="L11" s="1"/>
  <c r="J11"/>
  <c r="O11"/>
  <c r="E12"/>
  <c r="H12"/>
  <c r="L12" s="1"/>
  <c r="J12"/>
  <c r="O12"/>
  <c r="E13"/>
  <c r="H13"/>
  <c r="L13" s="1"/>
  <c r="J13"/>
  <c r="O13"/>
  <c r="E14"/>
  <c r="E10" s="1"/>
  <c r="H14"/>
  <c r="J14"/>
  <c r="L14"/>
  <c r="O14"/>
  <c r="C15"/>
  <c r="D15"/>
  <c r="F16"/>
  <c r="F15" s="1"/>
  <c r="H16"/>
  <c r="H15" s="1"/>
  <c r="O16"/>
  <c r="C17"/>
  <c r="D18"/>
  <c r="D17"/>
  <c r="F18"/>
  <c r="F17"/>
  <c r="J17" s="1"/>
  <c r="E19"/>
  <c r="H19"/>
  <c r="L19" s="1"/>
  <c r="J19"/>
  <c r="O19"/>
  <c r="E20"/>
  <c r="I20" s="1"/>
  <c r="L20"/>
  <c r="J20"/>
  <c r="O20"/>
  <c r="E21"/>
  <c r="H21"/>
  <c r="J21"/>
  <c r="O21"/>
  <c r="E22"/>
  <c r="H22"/>
  <c r="J22"/>
  <c r="O22"/>
  <c r="E23"/>
  <c r="I23" s="1"/>
  <c r="H23"/>
  <c r="J23"/>
  <c r="L23"/>
  <c r="O23"/>
  <c r="C25"/>
  <c r="F25"/>
  <c r="J25"/>
  <c r="P25"/>
  <c r="P24"/>
  <c r="Q25"/>
  <c r="Q24"/>
  <c r="R25"/>
  <c r="R24"/>
  <c r="E26"/>
  <c r="H26"/>
  <c r="I26" s="1"/>
  <c r="J26"/>
  <c r="O26"/>
  <c r="E27"/>
  <c r="H27"/>
  <c r="J27"/>
  <c r="O27"/>
  <c r="H28"/>
  <c r="I28" s="1"/>
  <c r="J28"/>
  <c r="O28"/>
  <c r="E29"/>
  <c r="H29"/>
  <c r="L29"/>
  <c r="I29"/>
  <c r="J29"/>
  <c r="O29"/>
  <c r="H30"/>
  <c r="I30"/>
  <c r="J30"/>
  <c r="L30"/>
  <c r="O30"/>
  <c r="E31"/>
  <c r="H31"/>
  <c r="I31"/>
  <c r="J31"/>
  <c r="L31"/>
  <c r="O31"/>
  <c r="F32"/>
  <c r="F24" s="1"/>
  <c r="J24" s="1"/>
  <c r="P32"/>
  <c r="Q32"/>
  <c r="R32"/>
  <c r="E33"/>
  <c r="H33"/>
  <c r="H32" s="1"/>
  <c r="J33"/>
  <c r="L33"/>
  <c r="O33"/>
  <c r="E34"/>
  <c r="H34"/>
  <c r="I34"/>
  <c r="J34"/>
  <c r="O34"/>
  <c r="H38"/>
  <c r="L38" s="1"/>
  <c r="J38"/>
  <c r="E39"/>
  <c r="H39"/>
  <c r="J39"/>
  <c r="O39"/>
  <c r="C6" i="2"/>
  <c r="D6"/>
  <c r="F6"/>
  <c r="J6"/>
  <c r="K6"/>
  <c r="P6"/>
  <c r="R6"/>
  <c r="E7"/>
  <c r="I7" s="1"/>
  <c r="J7"/>
  <c r="O7"/>
  <c r="E8"/>
  <c r="H8"/>
  <c r="L8" s="1"/>
  <c r="J8"/>
  <c r="O8"/>
  <c r="E9"/>
  <c r="H9"/>
  <c r="I9" s="1"/>
  <c r="J9"/>
  <c r="O9"/>
  <c r="D11"/>
  <c r="F11"/>
  <c r="J11"/>
  <c r="E12"/>
  <c r="H12"/>
  <c r="L12" s="1"/>
  <c r="J12"/>
  <c r="O12"/>
  <c r="E13"/>
  <c r="H13"/>
  <c r="L13" s="1"/>
  <c r="J13"/>
  <c r="O13"/>
  <c r="E14"/>
  <c r="H14"/>
  <c r="L14" s="1"/>
  <c r="J14"/>
  <c r="O14"/>
  <c r="E15"/>
  <c r="H15"/>
  <c r="J15"/>
  <c r="L15"/>
  <c r="O15"/>
  <c r="D16"/>
  <c r="F16"/>
  <c r="J16"/>
  <c r="M16"/>
  <c r="O16" s="1"/>
  <c r="E17"/>
  <c r="E16" s="1"/>
  <c r="H17"/>
  <c r="H16" s="1"/>
  <c r="J17"/>
  <c r="O17"/>
  <c r="F19"/>
  <c r="F18"/>
  <c r="H20"/>
  <c r="I20" s="1"/>
  <c r="J20"/>
  <c r="O20"/>
  <c r="H21"/>
  <c r="L21" s="1"/>
  <c r="J21"/>
  <c r="O21"/>
  <c r="E22"/>
  <c r="H22"/>
  <c r="L22" s="1"/>
  <c r="J22"/>
  <c r="O22"/>
  <c r="E23"/>
  <c r="H23"/>
  <c r="I23"/>
  <c r="J23"/>
  <c r="L23"/>
  <c r="O23"/>
  <c r="E26"/>
  <c r="H26"/>
  <c r="L26" s="1"/>
  <c r="J26"/>
  <c r="O26"/>
  <c r="E27"/>
  <c r="H27"/>
  <c r="O27"/>
  <c r="E29"/>
  <c r="H29"/>
  <c r="L29" s="1"/>
  <c r="J29"/>
  <c r="O29"/>
  <c r="E30"/>
  <c r="I30"/>
  <c r="H30"/>
  <c r="L30"/>
  <c r="J30"/>
  <c r="O30"/>
  <c r="E33"/>
  <c r="I33"/>
  <c r="H33"/>
  <c r="J33"/>
  <c r="O33"/>
  <c r="E35"/>
  <c r="H35"/>
  <c r="L35"/>
  <c r="J35"/>
  <c r="O35"/>
  <c r="H36"/>
  <c r="I36" s="1"/>
  <c r="J36"/>
  <c r="O36"/>
  <c r="H38"/>
  <c r="I38" s="1"/>
  <c r="J38"/>
  <c r="O38"/>
  <c r="F39"/>
  <c r="J39"/>
  <c r="P39"/>
  <c r="Q39"/>
  <c r="R39"/>
  <c r="E40"/>
  <c r="I40"/>
  <c r="H40"/>
  <c r="J40"/>
  <c r="L40"/>
  <c r="O40"/>
  <c r="E41"/>
  <c r="I41"/>
  <c r="H41"/>
  <c r="J41"/>
  <c r="L41"/>
  <c r="E45"/>
  <c r="H45"/>
  <c r="L45" s="1"/>
  <c r="J45"/>
  <c r="O45"/>
  <c r="E46"/>
  <c r="H46"/>
  <c r="J46"/>
  <c r="O46"/>
  <c r="C5" i="1"/>
  <c r="D5"/>
  <c r="G4"/>
  <c r="N5"/>
  <c r="P5"/>
  <c r="P4" s="1"/>
  <c r="R5"/>
  <c r="R4"/>
  <c r="E6"/>
  <c r="O6"/>
  <c r="E7"/>
  <c r="F7"/>
  <c r="F8" i="9"/>
  <c r="H7" i="1"/>
  <c r="L7" s="1"/>
  <c r="O7"/>
  <c r="E8"/>
  <c r="F8"/>
  <c r="I8"/>
  <c r="O8"/>
  <c r="C10"/>
  <c r="D10"/>
  <c r="F10"/>
  <c r="M10"/>
  <c r="O10" s="1"/>
  <c r="E11"/>
  <c r="H11"/>
  <c r="L11" s="1"/>
  <c r="J11"/>
  <c r="O11"/>
  <c r="E12"/>
  <c r="H12"/>
  <c r="L12" s="1"/>
  <c r="J12"/>
  <c r="O12"/>
  <c r="E13"/>
  <c r="H13"/>
  <c r="L13" s="1"/>
  <c r="J13"/>
  <c r="O13"/>
  <c r="E14"/>
  <c r="H14"/>
  <c r="J14"/>
  <c r="L14"/>
  <c r="O14"/>
  <c r="C15"/>
  <c r="E16"/>
  <c r="H16"/>
  <c r="L16" s="1"/>
  <c r="O16"/>
  <c r="H17"/>
  <c r="L17" s="1"/>
  <c r="O17"/>
  <c r="E18"/>
  <c r="I18" s="1"/>
  <c r="H18"/>
  <c r="L18" s="1"/>
  <c r="O18"/>
  <c r="E19"/>
  <c r="F19"/>
  <c r="H19"/>
  <c r="L19" s="1"/>
  <c r="O19"/>
  <c r="E20"/>
  <c r="F20"/>
  <c r="F21" i="9"/>
  <c r="H20" i="1"/>
  <c r="J20" s="1"/>
  <c r="O20"/>
  <c r="E21"/>
  <c r="H21"/>
  <c r="J21" s="1"/>
  <c r="O21"/>
  <c r="F22"/>
  <c r="F26" i="9"/>
  <c r="H22" i="1"/>
  <c r="J22" s="1"/>
  <c r="O22"/>
  <c r="E23"/>
  <c r="I23"/>
  <c r="H23"/>
  <c r="L23"/>
  <c r="J23"/>
  <c r="O23"/>
  <c r="C25"/>
  <c r="E26"/>
  <c r="I26"/>
  <c r="H26"/>
  <c r="L26"/>
  <c r="J26"/>
  <c r="O26"/>
  <c r="F27"/>
  <c r="F31" i="9"/>
  <c r="O27" i="1"/>
  <c r="E28"/>
  <c r="J28"/>
  <c r="O28"/>
  <c r="E29"/>
  <c r="F29"/>
  <c r="F32" i="9"/>
  <c r="H29" i="1"/>
  <c r="L29" s="1"/>
  <c r="O29"/>
  <c r="E31"/>
  <c r="I31" s="1"/>
  <c r="L31"/>
  <c r="J31"/>
  <c r="O31"/>
  <c r="E32"/>
  <c r="F32"/>
  <c r="F35" i="9"/>
  <c r="H32" i="1"/>
  <c r="L32" s="1"/>
  <c r="O32"/>
  <c r="C33"/>
  <c r="P33"/>
  <c r="R33"/>
  <c r="F34"/>
  <c r="F37" i="9"/>
  <c r="H34" i="1"/>
  <c r="I34" s="1"/>
  <c r="O34"/>
  <c r="E35"/>
  <c r="F35"/>
  <c r="F38" i="9"/>
  <c r="H35" i="1"/>
  <c r="L35" s="1"/>
  <c r="O35"/>
  <c r="E36"/>
  <c r="E33" s="1"/>
  <c r="H36"/>
  <c r="L36" s="1"/>
  <c r="J36"/>
  <c r="O36"/>
  <c r="C37"/>
  <c r="D37"/>
  <c r="F37"/>
  <c r="J37"/>
  <c r="P37"/>
  <c r="Q37"/>
  <c r="R37"/>
  <c r="E38"/>
  <c r="H38"/>
  <c r="J38"/>
  <c r="O38"/>
  <c r="E39"/>
  <c r="H39"/>
  <c r="J39"/>
  <c r="O39"/>
  <c r="E40"/>
  <c r="F40"/>
  <c r="F43" i="9"/>
  <c r="H40" i="1"/>
  <c r="J40" s="1"/>
  <c r="O40"/>
  <c r="J41"/>
  <c r="P41"/>
  <c r="Q41"/>
  <c r="R41"/>
  <c r="E42"/>
  <c r="E41" s="1"/>
  <c r="H42"/>
  <c r="L42" s="1"/>
  <c r="J42"/>
  <c r="O42"/>
  <c r="E43"/>
  <c r="I43"/>
  <c r="H43"/>
  <c r="J43"/>
  <c r="L43"/>
  <c r="O43"/>
  <c r="F47"/>
  <c r="H48"/>
  <c r="L48" s="1"/>
  <c r="J48"/>
  <c r="O48"/>
  <c r="H51"/>
  <c r="L51"/>
  <c r="F24" i="7"/>
  <c r="J24"/>
  <c r="F17"/>
  <c r="J17"/>
  <c r="L8" i="8"/>
  <c r="E10"/>
  <c r="L33" i="2"/>
  <c r="E7" i="8"/>
  <c r="D7" i="9"/>
  <c r="E7" i="6"/>
  <c r="E6" s="1"/>
  <c r="L34" i="3"/>
  <c r="E27" i="1"/>
  <c r="D25"/>
  <c r="E17"/>
  <c r="D33"/>
  <c r="E48"/>
  <c r="D15"/>
  <c r="D4" s="1"/>
  <c r="E38" i="8"/>
  <c r="H28" i="1"/>
  <c r="L28" s="1"/>
  <c r="H27"/>
  <c r="I27" s="1"/>
  <c r="O32" i="8"/>
  <c r="L22" i="3"/>
  <c r="O47" i="1"/>
  <c r="I39" i="8"/>
  <c r="J25" i="6"/>
  <c r="D25" i="3"/>
  <c r="J18"/>
  <c r="F33" i="1"/>
  <c r="E6" i="3"/>
  <c r="H6" i="6"/>
  <c r="L6" s="1"/>
  <c r="O38" i="3"/>
  <c r="N46" i="9"/>
  <c r="O46" s="1"/>
  <c r="O41" i="2"/>
  <c r="O39" s="1"/>
  <c r="L46"/>
  <c r="E18" i="8"/>
  <c r="E17" s="1"/>
  <c r="E25" i="2"/>
  <c r="F15" i="1"/>
  <c r="E6" i="8"/>
  <c r="E25"/>
  <c r="O6" i="6"/>
  <c r="E31" i="2"/>
  <c r="E34"/>
  <c r="L33" i="6"/>
  <c r="O15" i="3"/>
  <c r="J18" i="6"/>
  <c r="J18" i="8"/>
  <c r="I8" i="2"/>
  <c r="I22" i="7"/>
  <c r="E32" i="9"/>
  <c r="E51" i="1"/>
  <c r="I51" s="1"/>
  <c r="O6" i="8"/>
  <c r="D19" i="2"/>
  <c r="D18" s="1"/>
  <c r="H52" i="9"/>
  <c r="D39"/>
  <c r="M24" i="8"/>
  <c r="D24" i="7"/>
  <c r="I19" i="3"/>
  <c r="H34" i="2"/>
  <c r="L34" s="1"/>
  <c r="E6" i="7"/>
  <c r="F9" i="9"/>
  <c r="C16"/>
  <c r="M24" i="7"/>
  <c r="Q25" i="9"/>
  <c r="Q22" s="1"/>
  <c r="P31"/>
  <c r="F24" i="2"/>
  <c r="J24"/>
  <c r="L36"/>
  <c r="L32" i="8"/>
  <c r="F25" i="9"/>
  <c r="F22" s="1"/>
  <c r="D24" i="2"/>
  <c r="E21"/>
  <c r="E19" s="1"/>
  <c r="E18" s="1"/>
  <c r="O15" i="8"/>
  <c r="E18" i="6"/>
  <c r="E17" s="1"/>
  <c r="I19"/>
  <c r="I17" i="2"/>
  <c r="L38"/>
  <c r="I7" i="1"/>
  <c r="I9" i="6"/>
  <c r="F49" i="9"/>
  <c r="I19" i="1"/>
  <c r="E10" i="6"/>
  <c r="E6" i="2"/>
  <c r="J16" i="3"/>
  <c r="D24"/>
  <c r="F20" i="9"/>
  <c r="F16" s="1"/>
  <c r="R24" i="8"/>
  <c r="P24"/>
  <c r="E37" i="9"/>
  <c r="E37" i="1"/>
  <c r="L39" i="2"/>
  <c r="J19"/>
  <c r="I21" i="7"/>
  <c r="F25" i="1"/>
  <c r="E5"/>
  <c r="E15"/>
  <c r="I7" i="8"/>
  <c r="R24" i="7"/>
  <c r="P24"/>
  <c r="L16"/>
  <c r="P16" i="9"/>
  <c r="F5" i="2"/>
  <c r="J5"/>
  <c r="J18"/>
  <c r="F5" i="7"/>
  <c r="J7" i="1"/>
  <c r="I46" i="2"/>
  <c r="I35"/>
  <c r="I29"/>
  <c r="L21" i="3"/>
  <c r="I13"/>
  <c r="C24" i="6"/>
  <c r="I29"/>
  <c r="I27" i="8"/>
  <c r="I11"/>
  <c r="I9" i="3"/>
  <c r="E25" i="6"/>
  <c r="E24" s="1"/>
  <c r="F24"/>
  <c r="J24"/>
  <c r="I16"/>
  <c r="Q24" i="7"/>
  <c r="C24"/>
  <c r="M24" i="6"/>
  <c r="C24" i="3"/>
  <c r="J17" i="6"/>
  <c r="F5"/>
  <c r="J5" s="1"/>
  <c r="J17" i="8"/>
  <c r="F24"/>
  <c r="J24" s="1"/>
  <c r="L17" i="2"/>
  <c r="J32" i="3"/>
  <c r="E25" i="7"/>
  <c r="F24" i="1"/>
  <c r="F43" i="2"/>
  <c r="F44"/>
  <c r="J44"/>
  <c r="F36" i="7"/>
  <c r="J36" s="1"/>
  <c r="J5"/>
  <c r="F37" i="6"/>
  <c r="F49" i="2"/>
  <c r="J49"/>
  <c r="J43"/>
  <c r="F37" i="7"/>
  <c r="J37" s="1"/>
  <c r="F40"/>
  <c r="F38" i="6"/>
  <c r="J38" s="1"/>
  <c r="F41"/>
  <c r="J41" s="1"/>
  <c r="J37"/>
  <c r="L11" i="7"/>
  <c r="L39" i="3"/>
  <c r="L22" i="8"/>
  <c r="L15" i="7"/>
  <c r="H37" i="9"/>
  <c r="I37" s="1"/>
  <c r="J29" i="1"/>
  <c r="I12"/>
  <c r="I28"/>
  <c r="L20"/>
  <c r="L6"/>
  <c r="I6"/>
  <c r="I13" i="7"/>
  <c r="I7"/>
  <c r="I19"/>
  <c r="L38" i="8"/>
  <c r="I28"/>
  <c r="O18"/>
  <c r="O10"/>
  <c r="I9"/>
  <c r="L27"/>
  <c r="L21"/>
  <c r="L20"/>
  <c r="I13"/>
  <c r="I12"/>
  <c r="O10" i="6"/>
  <c r="I39"/>
  <c r="L13"/>
  <c r="I11"/>
  <c r="I20"/>
  <c r="I12"/>
  <c r="H10"/>
  <c r="L10" s="1"/>
  <c r="O10" i="3"/>
  <c r="O18"/>
  <c r="H10"/>
  <c r="L10" s="1"/>
  <c r="M24" i="2"/>
  <c r="O19"/>
  <c r="L7"/>
  <c r="I26"/>
  <c r="L9"/>
  <c r="N4" i="1"/>
  <c r="H19" i="9"/>
  <c r="J19" s="1"/>
  <c r="I13" i="1"/>
  <c r="J32"/>
  <c r="H18" i="3"/>
  <c r="L18" s="1"/>
  <c r="L16"/>
  <c r="H51" i="9"/>
  <c r="L51" s="1"/>
  <c r="H45"/>
  <c r="J23"/>
  <c r="D26"/>
  <c r="E26" s="1"/>
  <c r="L39" i="7"/>
  <c r="L27" i="3"/>
  <c r="L28"/>
  <c r="I12" i="2"/>
  <c r="J8" i="1"/>
  <c r="E51" i="9"/>
  <c r="J19" i="1"/>
  <c r="H10" i="8"/>
  <c r="H15"/>
  <c r="K4" i="1"/>
  <c r="K45" s="1"/>
  <c r="J35"/>
  <c r="L15" i="8"/>
  <c r="E16" i="3"/>
  <c r="E15" s="1"/>
  <c r="R5" i="8"/>
  <c r="R36" s="1"/>
  <c r="R41" s="1"/>
  <c r="R5" i="6"/>
  <c r="R37"/>
  <c r="R41"/>
  <c r="H18" i="9"/>
  <c r="O6" i="3"/>
  <c r="L20" i="6"/>
  <c r="J18" i="1"/>
  <c r="I12" i="7"/>
  <c r="J47" i="1"/>
  <c r="R5" i="2"/>
  <c r="C24" i="1"/>
  <c r="L16" i="2"/>
  <c r="I14" i="1"/>
  <c r="P11" i="9"/>
  <c r="O25" i="8"/>
  <c r="L15" i="3"/>
  <c r="I29" i="1"/>
  <c r="C5" i="3"/>
  <c r="C36" s="1"/>
  <c r="I16" i="1"/>
  <c r="I48"/>
  <c r="I11"/>
  <c r="F5"/>
  <c r="I49"/>
  <c r="J6"/>
  <c r="O37" i="9"/>
  <c r="H30"/>
  <c r="C4" i="1"/>
  <c r="E10"/>
  <c r="I35"/>
  <c r="F4"/>
  <c r="L47"/>
  <c r="F45"/>
  <c r="F52"/>
  <c r="F46"/>
  <c r="O25" i="3"/>
  <c r="C24" i="2"/>
  <c r="C5" i="7"/>
  <c r="C36" s="1"/>
  <c r="I14"/>
  <c r="H19" i="2"/>
  <c r="L19" s="1"/>
  <c r="L20"/>
  <c r="H20" i="9"/>
  <c r="H18" i="7"/>
  <c r="H17" s="1"/>
  <c r="H10"/>
  <c r="L28"/>
  <c r="I20"/>
  <c r="I16"/>
  <c r="H25"/>
  <c r="I25" s="1"/>
  <c r="I27"/>
  <c r="I45" i="2"/>
  <c r="I13"/>
  <c r="I22"/>
  <c r="L32" i="7"/>
  <c r="K46" i="9"/>
  <c r="L35" i="6"/>
  <c r="H47" i="9"/>
  <c r="H41" i="1"/>
  <c r="L41" s="1"/>
  <c r="J27"/>
  <c r="I22" i="6"/>
  <c r="I42" i="2"/>
  <c r="I44" i="1"/>
  <c r="H15" i="9"/>
  <c r="I30" i="1"/>
  <c r="E24" i="2"/>
  <c r="I21" i="6"/>
  <c r="H25"/>
  <c r="I25" s="1"/>
  <c r="H25" i="3"/>
  <c r="H32" i="9"/>
  <c r="L8" i="1"/>
  <c r="C40" i="9"/>
  <c r="H18" i="8"/>
  <c r="L18" s="1"/>
  <c r="H10" i="1"/>
  <c r="H25" i="2"/>
  <c r="H6" i="8"/>
  <c r="L6" s="1"/>
  <c r="H6" i="3"/>
  <c r="I6" s="1"/>
  <c r="H15" i="1"/>
  <c r="I15" s="1"/>
  <c r="J16"/>
  <c r="Q31" i="9"/>
  <c r="H49"/>
  <c r="L49" s="1"/>
  <c r="L40" i="1"/>
  <c r="I7" i="6"/>
  <c r="O18"/>
  <c r="M36" i="9"/>
  <c r="L28" i="6"/>
  <c r="O50" i="9"/>
  <c r="L38" i="1"/>
  <c r="H33"/>
  <c r="I36"/>
  <c r="H25"/>
  <c r="J25" s="1"/>
  <c r="O18" i="7"/>
  <c r="L25"/>
  <c r="I6" i="8"/>
  <c r="I32" i="1"/>
  <c r="K25" i="9"/>
  <c r="I34" i="2"/>
  <c r="L25" i="3"/>
  <c r="J46" i="9"/>
  <c r="O15" i="1"/>
  <c r="O25" i="7"/>
  <c r="N25" i="9"/>
  <c r="O25" i="6"/>
  <c r="I38" i="7"/>
  <c r="L27" i="2"/>
  <c r="O20" i="9" l="1"/>
  <c r="O18"/>
  <c r="I38" i="8"/>
  <c r="E41"/>
  <c r="L26" i="3"/>
  <c r="L27" i="1"/>
  <c r="K37" i="8"/>
  <c r="K41"/>
  <c r="K46" i="1"/>
  <c r="K52"/>
  <c r="I39" i="3"/>
  <c r="O41" i="9"/>
  <c r="O43"/>
  <c r="O35"/>
  <c r="O19"/>
  <c r="H32" i="7"/>
  <c r="H32" i="8"/>
  <c r="I32" s="1"/>
  <c r="H33" i="6"/>
  <c r="I33" s="1"/>
  <c r="I32" i="3"/>
  <c r="I27"/>
  <c r="O34" i="9"/>
  <c r="H11" i="2"/>
  <c r="L11" s="1"/>
  <c r="H39"/>
  <c r="I39" s="1"/>
  <c r="H6"/>
  <c r="L6" s="1"/>
  <c r="H5" i="1"/>
  <c r="I5" s="1"/>
  <c r="C6" i="9"/>
  <c r="G6"/>
  <c r="E7"/>
  <c r="D6"/>
  <c r="M6"/>
  <c r="F6"/>
  <c r="L32"/>
  <c r="K36" i="3"/>
  <c r="K6" i="9"/>
  <c r="L20"/>
  <c r="N6"/>
  <c r="H35"/>
  <c r="J35" s="1"/>
  <c r="I6" i="6"/>
  <c r="I38" i="3"/>
  <c r="I11"/>
  <c r="I14" i="2"/>
  <c r="E24" i="9"/>
  <c r="I20"/>
  <c r="H38"/>
  <c r="L38" s="1"/>
  <c r="K36"/>
  <c r="H33"/>
  <c r="L33" s="1"/>
  <c r="I51"/>
  <c r="I21" i="1"/>
  <c r="J25" i="9"/>
  <c r="Q29"/>
  <c r="Q28" s="1"/>
  <c r="C29"/>
  <c r="P29"/>
  <c r="P28" s="1"/>
  <c r="F11"/>
  <c r="J11" s="1"/>
  <c r="E9"/>
  <c r="H8"/>
  <c r="J8" s="1"/>
  <c r="D36" i="7"/>
  <c r="I10"/>
  <c r="I11"/>
  <c r="F36" i="8"/>
  <c r="J5"/>
  <c r="I15"/>
  <c r="G44" i="9"/>
  <c r="H43"/>
  <c r="L43" s="1"/>
  <c r="H41"/>
  <c r="L41" s="1"/>
  <c r="H39"/>
  <c r="L39" s="1"/>
  <c r="R29"/>
  <c r="R28" s="1"/>
  <c r="H27"/>
  <c r="E27"/>
  <c r="I27" s="1"/>
  <c r="R16"/>
  <c r="R11"/>
  <c r="P6"/>
  <c r="H24"/>
  <c r="L24" s="1"/>
  <c r="G16"/>
  <c r="Q6"/>
  <c r="K11"/>
  <c r="E42"/>
  <c r="E41"/>
  <c r="I22" i="3"/>
  <c r="H9" i="9"/>
  <c r="L9" s="1"/>
  <c r="R6"/>
  <c r="Q16"/>
  <c r="Q11"/>
  <c r="E34"/>
  <c r="D5" i="3"/>
  <c r="D36" s="1"/>
  <c r="R5"/>
  <c r="R36" s="1"/>
  <c r="R41" s="1"/>
  <c r="E33" i="9"/>
  <c r="C22"/>
  <c r="E25" i="3"/>
  <c r="D11" i="9"/>
  <c r="M11"/>
  <c r="J15" i="3"/>
  <c r="F5"/>
  <c r="L32"/>
  <c r="H24"/>
  <c r="I24" s="1"/>
  <c r="E24"/>
  <c r="I25"/>
  <c r="K22" i="9"/>
  <c r="I16" i="3"/>
  <c r="G25" i="9"/>
  <c r="G22" s="1"/>
  <c r="F40"/>
  <c r="J40" s="1"/>
  <c r="I14" i="3"/>
  <c r="E13" i="9"/>
  <c r="R25"/>
  <c r="R22" s="1"/>
  <c r="I33" i="3"/>
  <c r="E39" i="9"/>
  <c r="P25"/>
  <c r="P22" s="1"/>
  <c r="E23"/>
  <c r="I21" i="3"/>
  <c r="E18"/>
  <c r="E17" s="1"/>
  <c r="C11" i="9"/>
  <c r="I32" i="2"/>
  <c r="E31" i="9"/>
  <c r="E11" i="2"/>
  <c r="E5" s="1"/>
  <c r="E43" s="1"/>
  <c r="C45" i="1"/>
  <c r="C46" s="1"/>
  <c r="I10"/>
  <c r="E8" i="9"/>
  <c r="M5" i="7"/>
  <c r="O5" s="1"/>
  <c r="I15"/>
  <c r="E5"/>
  <c r="C40"/>
  <c r="C37"/>
  <c r="E24" i="8"/>
  <c r="I22"/>
  <c r="I21"/>
  <c r="I20"/>
  <c r="C5"/>
  <c r="C36" s="1"/>
  <c r="I16"/>
  <c r="I10"/>
  <c r="E5"/>
  <c r="P5" i="6"/>
  <c r="P37" s="1"/>
  <c r="P41" s="1"/>
  <c r="H26" i="9"/>
  <c r="L26" s="1"/>
  <c r="C5" i="6"/>
  <c r="C37" s="1"/>
  <c r="C38" s="1"/>
  <c r="I14"/>
  <c r="P5" i="3"/>
  <c r="J20" i="9"/>
  <c r="E5" i="3"/>
  <c r="I15"/>
  <c r="C37"/>
  <c r="P5" i="2"/>
  <c r="P43" s="1"/>
  <c r="P49" s="1"/>
  <c r="E47" i="9"/>
  <c r="C43" i="2"/>
  <c r="C44" s="1"/>
  <c r="I15"/>
  <c r="E15" i="9"/>
  <c r="I15" s="1"/>
  <c r="P45" i="1"/>
  <c r="P52" s="1"/>
  <c r="H50" i="9"/>
  <c r="G40"/>
  <c r="J10" i="1"/>
  <c r="I47" i="9"/>
  <c r="I39" i="1"/>
  <c r="C36" i="9"/>
  <c r="C28" s="1"/>
  <c r="E12"/>
  <c r="L32" i="2"/>
  <c r="I20" i="1"/>
  <c r="H24" i="2"/>
  <c r="I24" s="1"/>
  <c r="I21"/>
  <c r="O45" i="9"/>
  <c r="L21" i="1"/>
  <c r="I32" i="7"/>
  <c r="D36" i="8"/>
  <c r="I28" i="2"/>
  <c r="I27"/>
  <c r="I16"/>
  <c r="L22" i="1"/>
  <c r="D37" i="3"/>
  <c r="I22" i="1"/>
  <c r="D24"/>
  <c r="D45" s="1"/>
  <c r="D52" s="1"/>
  <c r="E25"/>
  <c r="I33"/>
  <c r="E24"/>
  <c r="E38" i="9"/>
  <c r="E18"/>
  <c r="E4" i="1"/>
  <c r="L10" i="7"/>
  <c r="E24"/>
  <c r="O26" i="9"/>
  <c r="H12"/>
  <c r="L12" s="1"/>
  <c r="I28" i="6"/>
  <c r="E5"/>
  <c r="E37" s="1"/>
  <c r="D37"/>
  <c r="D41" s="1"/>
  <c r="M29" i="9"/>
  <c r="O33"/>
  <c r="I19" i="8"/>
  <c r="I19" i="2"/>
  <c r="I42" i="1"/>
  <c r="H6" i="7"/>
  <c r="H5" s="1"/>
  <c r="D29" i="9"/>
  <c r="D25"/>
  <c r="D5" i="2"/>
  <c r="D43" s="1"/>
  <c r="D49" s="1"/>
  <c r="K16" i="9"/>
  <c r="N16"/>
  <c r="O32" i="3"/>
  <c r="O17" i="9"/>
  <c r="I18" i="7"/>
  <c r="L10" i="8"/>
  <c r="G36" i="9"/>
  <c r="I10" i="3"/>
  <c r="I7"/>
  <c r="H31" i="2"/>
  <c r="L31" s="1"/>
  <c r="J37" i="9"/>
  <c r="L34" i="1"/>
  <c r="F36" i="9"/>
  <c r="E21"/>
  <c r="E14"/>
  <c r="I31"/>
  <c r="H17" i="3"/>
  <c r="O13" i="9"/>
  <c r="M40"/>
  <c r="H42"/>
  <c r="H37" i="1"/>
  <c r="H24" s="1"/>
  <c r="M24"/>
  <c r="L39"/>
  <c r="I40"/>
  <c r="J17"/>
  <c r="I17"/>
  <c r="L18" i="7"/>
  <c r="L25" i="6"/>
  <c r="H24"/>
  <c r="I24" s="1"/>
  <c r="J34" i="1"/>
  <c r="L6" i="3"/>
  <c r="I25" i="2"/>
  <c r="H18"/>
  <c r="I18" s="1"/>
  <c r="O9" i="9"/>
  <c r="I47" i="1"/>
  <c r="O31" i="9"/>
  <c r="K40"/>
  <c r="K29"/>
  <c r="L45"/>
  <c r="N36"/>
  <c r="O36" s="1"/>
  <c r="O42" i="2"/>
  <c r="N47" i="9"/>
  <c r="O38"/>
  <c r="O25" i="2"/>
  <c r="D40" i="7"/>
  <c r="D37"/>
  <c r="I38" i="1"/>
  <c r="E43" i="9"/>
  <c r="L37"/>
  <c r="O24" i="7"/>
  <c r="O6"/>
  <c r="H24"/>
  <c r="I24" s="1"/>
  <c r="H25" i="8"/>
  <c r="L25" s="1"/>
  <c r="H17"/>
  <c r="L17" s="1"/>
  <c r="G5"/>
  <c r="G36" s="1"/>
  <c r="G37" s="1"/>
  <c r="H13" i="9"/>
  <c r="L13" s="1"/>
  <c r="I10" i="6"/>
  <c r="G5"/>
  <c r="G5" i="3"/>
  <c r="G36" s="1"/>
  <c r="G37" s="1"/>
  <c r="Q5"/>
  <c r="Q43" i="2"/>
  <c r="Q49" s="1"/>
  <c r="L25"/>
  <c r="H23" i="9"/>
  <c r="G5" i="2"/>
  <c r="G43" s="1"/>
  <c r="G44" s="1"/>
  <c r="N24" i="1"/>
  <c r="N45" s="1"/>
  <c r="N46" s="1"/>
  <c r="G45"/>
  <c r="J15"/>
  <c r="H17" i="9"/>
  <c r="J17" s="1"/>
  <c r="H7"/>
  <c r="I18"/>
  <c r="F29"/>
  <c r="O42"/>
  <c r="D16"/>
  <c r="H21"/>
  <c r="J21" s="1"/>
  <c r="E49"/>
  <c r="I49" s="1"/>
  <c r="I18" i="8"/>
  <c r="M5"/>
  <c r="M36" s="1"/>
  <c r="M41" s="1"/>
  <c r="O14" i="9"/>
  <c r="H14"/>
  <c r="L14" s="1"/>
  <c r="O12"/>
  <c r="J31"/>
  <c r="I25" i="1"/>
  <c r="L31" i="9"/>
  <c r="O17" i="7"/>
  <c r="O24" i="8"/>
  <c r="O24" i="6"/>
  <c r="M44" i="9"/>
  <c r="O39"/>
  <c r="O24" i="3"/>
  <c r="M5"/>
  <c r="L33" i="1"/>
  <c r="O24" i="9"/>
  <c r="H4" i="1"/>
  <c r="M25" i="9"/>
  <c r="M22" s="1"/>
  <c r="O23"/>
  <c r="I6" i="2"/>
  <c r="O6"/>
  <c r="M5"/>
  <c r="M43" s="1"/>
  <c r="I41" i="1"/>
  <c r="J33"/>
  <c r="L25"/>
  <c r="O32" i="9"/>
  <c r="L15" i="1"/>
  <c r="M16" i="9"/>
  <c r="O21"/>
  <c r="M4" i="1"/>
  <c r="O4" s="1"/>
  <c r="O8" i="9"/>
  <c r="O7"/>
  <c r="O5" i="1"/>
  <c r="K40" i="7"/>
  <c r="K5" i="2"/>
  <c r="K43" s="1"/>
  <c r="K44" s="1"/>
  <c r="N5" i="6"/>
  <c r="N37" s="1"/>
  <c r="N38" s="1"/>
  <c r="O17"/>
  <c r="N29" i="9"/>
  <c r="N40"/>
  <c r="N11"/>
  <c r="L17" i="7"/>
  <c r="I17"/>
  <c r="G5"/>
  <c r="G36" s="1"/>
  <c r="G37" s="1"/>
  <c r="O17" i="8"/>
  <c r="N5"/>
  <c r="N36" s="1"/>
  <c r="H34" i="9"/>
  <c r="L34" s="1"/>
  <c r="M5" i="6"/>
  <c r="M37" s="1"/>
  <c r="G29" i="9"/>
  <c r="L18" i="6"/>
  <c r="I18"/>
  <c r="H17"/>
  <c r="G11" i="9"/>
  <c r="O17" i="3"/>
  <c r="N5"/>
  <c r="N36" s="1"/>
  <c r="I12"/>
  <c r="O24" i="2"/>
  <c r="O18"/>
  <c r="N5"/>
  <c r="N43" s="1"/>
  <c r="N44" s="1"/>
  <c r="I50" i="9"/>
  <c r="H46"/>
  <c r="L46" s="1"/>
  <c r="J49"/>
  <c r="I32"/>
  <c r="I24"/>
  <c r="L18"/>
  <c r="L10" i="1"/>
  <c r="Q5" i="8"/>
  <c r="Q36" s="1"/>
  <c r="Q41" s="1"/>
  <c r="Q45" i="1"/>
  <c r="Q52" s="1"/>
  <c r="I39" i="9"/>
  <c r="N22"/>
  <c r="D36"/>
  <c r="J32"/>
  <c r="L19"/>
  <c r="E46"/>
  <c r="J18"/>
  <c r="I43" l="1"/>
  <c r="L35"/>
  <c r="I35"/>
  <c r="K37" i="3"/>
  <c r="K41"/>
  <c r="N37" i="8"/>
  <c r="N41"/>
  <c r="N37" i="3"/>
  <c r="N41"/>
  <c r="H6" i="9"/>
  <c r="J6" s="1"/>
  <c r="L5" i="1"/>
  <c r="L24" i="3"/>
  <c r="I38" i="9"/>
  <c r="J5" i="1"/>
  <c r="M36" i="7"/>
  <c r="M40" s="1"/>
  <c r="L8" i="9"/>
  <c r="G37" i="6"/>
  <c r="G38" s="1"/>
  <c r="L24" i="2"/>
  <c r="J38" i="9"/>
  <c r="H36"/>
  <c r="L36" s="1"/>
  <c r="O16"/>
  <c r="O11"/>
  <c r="H40"/>
  <c r="L40" s="1"/>
  <c r="J24"/>
  <c r="E40"/>
  <c r="E6"/>
  <c r="K5"/>
  <c r="R5"/>
  <c r="R48" s="1"/>
  <c r="R53" s="1"/>
  <c r="I41"/>
  <c r="I9"/>
  <c r="I26"/>
  <c r="I33"/>
  <c r="I11" i="2"/>
  <c r="E49"/>
  <c r="E44"/>
  <c r="J43" i="9"/>
  <c r="J36" i="8"/>
  <c r="F37"/>
  <c r="J37" s="1"/>
  <c r="J26" i="9"/>
  <c r="G5"/>
  <c r="P5"/>
  <c r="P48" s="1"/>
  <c r="P53" s="1"/>
  <c r="C5"/>
  <c r="C48" s="1"/>
  <c r="C53" s="1"/>
  <c r="Q5"/>
  <c r="Q48" s="1"/>
  <c r="Q53" s="1"/>
  <c r="C41" i="6"/>
  <c r="E36" i="3"/>
  <c r="Q36"/>
  <c r="Q41" s="1"/>
  <c r="P36"/>
  <c r="P41" s="1"/>
  <c r="J5"/>
  <c r="F36"/>
  <c r="J9" i="9"/>
  <c r="I17" i="3"/>
  <c r="E29" i="9"/>
  <c r="M36" i="3"/>
  <c r="F28" i="9"/>
  <c r="I23"/>
  <c r="I18" i="3"/>
  <c r="C49" i="2"/>
  <c r="C52" i="1"/>
  <c r="I8" i="9"/>
  <c r="E16"/>
  <c r="E45" i="1"/>
  <c r="E52" s="1"/>
  <c r="E36" i="7"/>
  <c r="E37" s="1"/>
  <c r="E36" i="8"/>
  <c r="E37" s="1"/>
  <c r="C37"/>
  <c r="O37" i="6"/>
  <c r="E38"/>
  <c r="E41"/>
  <c r="E37" i="3"/>
  <c r="E11" i="9"/>
  <c r="O24" i="1"/>
  <c r="E36" i="9"/>
  <c r="I31" i="2"/>
  <c r="D37" i="8"/>
  <c r="D44" i="2"/>
  <c r="D28" i="9"/>
  <c r="I24" i="1"/>
  <c r="D46"/>
  <c r="E46" s="1"/>
  <c r="I4"/>
  <c r="I12" i="9"/>
  <c r="E40" i="7"/>
  <c r="D38" i="6"/>
  <c r="O29" i="9"/>
  <c r="L21"/>
  <c r="I6" i="7"/>
  <c r="L6"/>
  <c r="D22" i="9"/>
  <c r="D5" s="1"/>
  <c r="E25"/>
  <c r="E22" s="1"/>
  <c r="G28"/>
  <c r="H5" i="3"/>
  <c r="H36" s="1"/>
  <c r="L17"/>
  <c r="G49" i="2"/>
  <c r="G52" i="1"/>
  <c r="F5" i="9"/>
  <c r="O5" i="6"/>
  <c r="L42" i="9"/>
  <c r="I42"/>
  <c r="O40"/>
  <c r="I37" i="1"/>
  <c r="L37"/>
  <c r="I21" i="9"/>
  <c r="M45" i="1"/>
  <c r="M46" s="1"/>
  <c r="L17" i="9"/>
  <c r="L24" i="7"/>
  <c r="L24" i="6"/>
  <c r="L18" i="2"/>
  <c r="H5"/>
  <c r="L5" s="1"/>
  <c r="I25" i="8"/>
  <c r="H16" i="9"/>
  <c r="L16" s="1"/>
  <c r="O47"/>
  <c r="N44"/>
  <c r="O44" s="1"/>
  <c r="I17"/>
  <c r="N40" i="7"/>
  <c r="J7" i="9"/>
  <c r="H36" i="7"/>
  <c r="H37" s="1"/>
  <c r="G40"/>
  <c r="H24" i="8"/>
  <c r="I13" i="9"/>
  <c r="I17" i="8"/>
  <c r="H5"/>
  <c r="N41" i="6"/>
  <c r="I7" i="9"/>
  <c r="L23"/>
  <c r="L7"/>
  <c r="N52" i="1"/>
  <c r="M37" i="8"/>
  <c r="I14" i="9"/>
  <c r="H11"/>
  <c r="L11" s="1"/>
  <c r="L4" i="1"/>
  <c r="M5" i="9"/>
  <c r="O6"/>
  <c r="J24" i="1"/>
  <c r="L24"/>
  <c r="H44" i="9"/>
  <c r="M28"/>
  <c r="H45" i="1"/>
  <c r="J45" s="1"/>
  <c r="J4"/>
  <c r="O22" i="9"/>
  <c r="H25"/>
  <c r="H22" s="1"/>
  <c r="L22" s="1"/>
  <c r="O25"/>
  <c r="M49" i="2"/>
  <c r="M44"/>
  <c r="I34" i="9"/>
  <c r="K41" i="6"/>
  <c r="L42" i="2"/>
  <c r="K49"/>
  <c r="K47" i="9"/>
  <c r="H29"/>
  <c r="L29" s="1"/>
  <c r="I5" i="7"/>
  <c r="L5"/>
  <c r="O5" i="8"/>
  <c r="M38" i="6"/>
  <c r="M41"/>
  <c r="O38"/>
  <c r="I17"/>
  <c r="H5"/>
  <c r="L17"/>
  <c r="O5" i="3"/>
  <c r="O5" i="2"/>
  <c r="I46" i="9"/>
  <c r="E44"/>
  <c r="N5"/>
  <c r="L6" l="1"/>
  <c r="L36" i="3"/>
  <c r="H41"/>
  <c r="M37"/>
  <c r="M41"/>
  <c r="M37" i="7"/>
  <c r="O37" s="1"/>
  <c r="H46" i="1"/>
  <c r="I40" i="9"/>
  <c r="O36" i="7"/>
  <c r="O40"/>
  <c r="J36" i="9"/>
  <c r="I36"/>
  <c r="G41" i="6"/>
  <c r="O36" i="3"/>
  <c r="D48" i="9"/>
  <c r="D53" s="1"/>
  <c r="F48"/>
  <c r="G48"/>
  <c r="G53" s="1"/>
  <c r="I36" i="3"/>
  <c r="I6" i="9"/>
  <c r="J36" i="3"/>
  <c r="J41"/>
  <c r="F37"/>
  <c r="J37" s="1"/>
  <c r="E5" i="9"/>
  <c r="L5" i="3"/>
  <c r="I5"/>
  <c r="O45" i="1"/>
  <c r="M52"/>
  <c r="O52" s="1"/>
  <c r="I16" i="9"/>
  <c r="J16"/>
  <c r="I5" i="2"/>
  <c r="H43"/>
  <c r="O41" i="6"/>
  <c r="N28" i="9"/>
  <c r="N48" s="1"/>
  <c r="L36" i="7"/>
  <c r="H40"/>
  <c r="L40" s="1"/>
  <c r="I36"/>
  <c r="I24" i="8"/>
  <c r="L24"/>
  <c r="I5"/>
  <c r="L5"/>
  <c r="H36"/>
  <c r="H41" s="1"/>
  <c r="I44" i="9"/>
  <c r="I29"/>
  <c r="I11"/>
  <c r="M48"/>
  <c r="M53" s="1"/>
  <c r="H52" i="1"/>
  <c r="J52" s="1"/>
  <c r="I25" i="9"/>
  <c r="L25"/>
  <c r="I22"/>
  <c r="L45" i="1"/>
  <c r="I45"/>
  <c r="H5" i="9"/>
  <c r="J5" s="1"/>
  <c r="J22"/>
  <c r="L47"/>
  <c r="K44"/>
  <c r="H28"/>
  <c r="J28" s="1"/>
  <c r="J29"/>
  <c r="I37" i="7"/>
  <c r="L37"/>
  <c r="O37" i="8"/>
  <c r="O41"/>
  <c r="O36"/>
  <c r="H37" i="6"/>
  <c r="L5"/>
  <c r="I5"/>
  <c r="O37" i="3"/>
  <c r="N49" i="2"/>
  <c r="O49" s="1"/>
  <c r="O44"/>
  <c r="O43"/>
  <c r="O5" i="9"/>
  <c r="E28"/>
  <c r="J46" i="1" l="1"/>
  <c r="L46"/>
  <c r="I46"/>
  <c r="O46"/>
  <c r="O41" i="3"/>
  <c r="F53" i="9"/>
  <c r="I5"/>
  <c r="H37" i="3"/>
  <c r="O28" i="9"/>
  <c r="H44" i="2"/>
  <c r="H49"/>
  <c r="I43"/>
  <c r="L43"/>
  <c r="I40" i="7"/>
  <c r="L36" i="8"/>
  <c r="L41" s="1"/>
  <c r="I36"/>
  <c r="H37"/>
  <c r="L52" i="1"/>
  <c r="I52"/>
  <c r="I28" i="9"/>
  <c r="L5"/>
  <c r="H48"/>
  <c r="H53" s="1"/>
  <c r="K28"/>
  <c r="K48" s="1"/>
  <c r="K53" s="1"/>
  <c r="L44"/>
  <c r="I37" i="6"/>
  <c r="H38"/>
  <c r="H41"/>
  <c r="L37"/>
  <c r="N53" i="9"/>
  <c r="O53" s="1"/>
  <c r="O48"/>
  <c r="E48"/>
  <c r="J53" l="1"/>
  <c r="J48"/>
  <c r="L28"/>
  <c r="L37" i="3"/>
  <c r="I37"/>
  <c r="L41"/>
  <c r="I41"/>
  <c r="L49" i="2"/>
  <c r="I49"/>
  <c r="I44"/>
  <c r="L44"/>
  <c r="I37" i="8"/>
  <c r="L37"/>
  <c r="I41"/>
  <c r="L48" i="9"/>
  <c r="L53"/>
  <c r="I38" i="6"/>
  <c r="L38"/>
  <c r="L41"/>
  <c r="I41"/>
  <c r="I48" i="9"/>
  <c r="E53"/>
  <c r="I53" s="1"/>
</calcChain>
</file>

<file path=xl/sharedStrings.xml><?xml version="1.0" encoding="utf-8"?>
<sst xmlns="http://schemas.openxmlformats.org/spreadsheetml/2006/main" count="466" uniqueCount="138">
  <si>
    <t xml:space="preserve">  ед.налог на ВД</t>
  </si>
  <si>
    <t xml:space="preserve">  арендная плата за землю</t>
  </si>
  <si>
    <t>ВСЕГО ДОХОДОВ</t>
  </si>
  <si>
    <t>НАИМЕНОВАНИЕ ДОХОДНЫХ ИСТОЧНИКОВ</t>
  </si>
  <si>
    <t>Код бюджетной классификации</t>
  </si>
  <si>
    <t xml:space="preserve">                   СВЕДЕНИЯ</t>
  </si>
  <si>
    <t xml:space="preserve"> ДОХОДЫ</t>
  </si>
  <si>
    <t>единый сельхозналог</t>
  </si>
  <si>
    <t>невыясненные поступления</t>
  </si>
  <si>
    <t>НЕДОИМКА</t>
  </si>
  <si>
    <t>% исполнения к годовому плану</t>
  </si>
  <si>
    <t>С В Е Д Е Н И Я</t>
  </si>
  <si>
    <t>налог на имущество ф.л.</t>
  </si>
  <si>
    <t>Земельный налог всего</t>
  </si>
  <si>
    <t>пр. неналоговые доходы</t>
  </si>
  <si>
    <t>Земельный налог</t>
  </si>
  <si>
    <t xml:space="preserve">.налог на имущество ф.л. </t>
  </si>
  <si>
    <t>аренд пл за имущ.в опер упр</t>
  </si>
  <si>
    <t>доходы от эксплуат автодорог</t>
  </si>
  <si>
    <t>Налог на имущество организаций</t>
  </si>
  <si>
    <t xml:space="preserve">  доходы от акций</t>
  </si>
  <si>
    <t>Налоговые доходы</t>
  </si>
  <si>
    <t>Неналоговые доходы</t>
  </si>
  <si>
    <t xml:space="preserve">проч.поступл. от исп. имущ-ва </t>
  </si>
  <si>
    <t>Поправки</t>
  </si>
  <si>
    <t>Безвозмездные поступления</t>
  </si>
  <si>
    <t xml:space="preserve">Аренд плата за землю </t>
  </si>
  <si>
    <t>доходы от экспл автодорог</t>
  </si>
  <si>
    <t>Наименование доходных источников</t>
  </si>
  <si>
    <t>% исполнения к кассовому плану</t>
  </si>
  <si>
    <t>% исполнения к прошлому году</t>
  </si>
  <si>
    <t>доходы от реализ имущ-ва</t>
  </si>
  <si>
    <t>доходы от продажи зем участк</t>
  </si>
  <si>
    <t>прочие неналоговые доходы</t>
  </si>
  <si>
    <t>доходы от платных услуг</t>
  </si>
  <si>
    <t>доходы связ с экспл имущества</t>
  </si>
  <si>
    <t>Безвозм поступл от бюдж др уровн</t>
  </si>
  <si>
    <t>2070500005</t>
  </si>
  <si>
    <t>Прочие дох от комп затрат</t>
  </si>
  <si>
    <t>2070500000</t>
  </si>
  <si>
    <t>на дох физ лиц налоговых агентов</t>
  </si>
  <si>
    <t>зарегистр в кач-ве инд  предприн</t>
  </si>
  <si>
    <t>физические лица  по ст 228</t>
  </si>
  <si>
    <t>зарег в кач-ве инд  предприн</t>
  </si>
  <si>
    <t>на дох физ лиц налог агентов</t>
  </si>
  <si>
    <t>Доходы от продажи имущест</t>
  </si>
  <si>
    <t>Прочие безвозмездн поступления</t>
  </si>
  <si>
    <t>Прочие безвозмездн поступ</t>
  </si>
  <si>
    <t>Акцизы по подакцизным товарам</t>
  </si>
  <si>
    <t>Акцизы на дизельное топливо</t>
  </si>
  <si>
    <t>Акцизы на моторные масла</t>
  </si>
  <si>
    <t>Акцизы на автомобильный бензин</t>
  </si>
  <si>
    <t>Акцизы на прямогонный бензин</t>
  </si>
  <si>
    <t>УСН (доходы)</t>
  </si>
  <si>
    <t>УСН (доходы минус расходы)</t>
  </si>
  <si>
    <t>Налоги на совокупный доход</t>
  </si>
  <si>
    <t>Задолж.по отмен.налог.и сборам</t>
  </si>
  <si>
    <t xml:space="preserve"> Налог на имущество организ</t>
  </si>
  <si>
    <t>арендная пл за землю до разгр</t>
  </si>
  <si>
    <t>аренда земли после разгр</t>
  </si>
  <si>
    <t xml:space="preserve">  арендная плата за имущ.</t>
  </si>
  <si>
    <t>Доходы от использ имущества</t>
  </si>
  <si>
    <t>прочие доходы от комп затрат</t>
  </si>
  <si>
    <t>Н Д Ф Л</t>
  </si>
  <si>
    <t>ГОСПОШЛИНА</t>
  </si>
  <si>
    <t>Плата за негат воздна окр.</t>
  </si>
  <si>
    <t>Доходы от оказ платн услуг</t>
  </si>
  <si>
    <t>ДОХОДЫ ОТ ПРОД АЖИ</t>
  </si>
  <si>
    <t>.ШТРАФЫ, САНКЦИИ</t>
  </si>
  <si>
    <t>ПРОЧ.НЕНАЛОГ.ДОХОДЫ</t>
  </si>
  <si>
    <t>Налог на СОВОКУП.ДОХОД</t>
  </si>
  <si>
    <t>Налоги на ИМУЩЕСТВО</t>
  </si>
  <si>
    <t xml:space="preserve"> Госпошлина</t>
  </si>
  <si>
    <t>Задолженность по зем налогу</t>
  </si>
  <si>
    <t>ДОХОДЫ ОТ ИСП.ИМУЩ.</t>
  </si>
  <si>
    <t xml:space="preserve"> Доходы от продажи имущества</t>
  </si>
  <si>
    <t xml:space="preserve"> Доходы от продажи зем уч</t>
  </si>
  <si>
    <t xml:space="preserve"> Штрафы,санкции</t>
  </si>
  <si>
    <t>Доходы от продажи зем уч</t>
  </si>
  <si>
    <t xml:space="preserve"> Штрафы, санкции</t>
  </si>
  <si>
    <t>Налоги на имущество</t>
  </si>
  <si>
    <t>Плата за негат.возд.на окр.среду</t>
  </si>
  <si>
    <t>Налоги на совокуп доход</t>
  </si>
  <si>
    <t>Госпошлина</t>
  </si>
  <si>
    <t>Зад.по отмен.налог.и сборам</t>
  </si>
  <si>
    <t>Доходы от использ-я  имущ-ва</t>
  </si>
  <si>
    <t>Доходы от продажи</t>
  </si>
  <si>
    <t>Штрафы, санкции</t>
  </si>
  <si>
    <t>Прочие неналог доходы</t>
  </si>
  <si>
    <t xml:space="preserve"> ИТОГО СОБСТВ ДОХОДЫ</t>
  </si>
  <si>
    <t>Акцизы на автобензин</t>
  </si>
  <si>
    <t>Собств доходы без акцизов и родит платы</t>
  </si>
  <si>
    <t>Собств доходы без акцизов</t>
  </si>
  <si>
    <t>Возврат остатков прошл лет</t>
  </si>
  <si>
    <t>2190500005</t>
  </si>
  <si>
    <t>2070500013</t>
  </si>
  <si>
    <t>доходы от выдачи патентов</t>
  </si>
  <si>
    <t>Аренд плата за землю  неразгранич</t>
  </si>
  <si>
    <t>Аренд плата за землю  гор пос</t>
  </si>
  <si>
    <t>Кассовый план на 9 месяцев  2015 года</t>
  </si>
  <si>
    <t>в т.ч. земельный налог организ.</t>
  </si>
  <si>
    <t>в т.ч. земельный налог  физ лиц</t>
  </si>
  <si>
    <t>2040500005</t>
  </si>
  <si>
    <t>Доходы связ с экспл имущества</t>
  </si>
  <si>
    <t xml:space="preserve"> Доходы от продажи зем уч неразгр</t>
  </si>
  <si>
    <t xml:space="preserve"> Доходы от продажи зем уч разгр</t>
  </si>
  <si>
    <t>Аренд плата за землю  разгранич</t>
  </si>
  <si>
    <t>2190500013</t>
  </si>
  <si>
    <t>Доходы от возврата остатков пр лет</t>
  </si>
  <si>
    <t>2196001005</t>
  </si>
  <si>
    <t>Доходы от сдачи в аренду им-ва в казне</t>
  </si>
  <si>
    <t>2186001013</t>
  </si>
  <si>
    <t>доходы от сдачи в аренду им-ва в казне</t>
  </si>
  <si>
    <t>Безвоз. поступл. от негосуд. организ-й</t>
  </si>
  <si>
    <t>2022 год</t>
  </si>
  <si>
    <t>инициативные платежи</t>
  </si>
  <si>
    <t>2080500005</t>
  </si>
  <si>
    <t>Перечисления для осуществления возврата</t>
  </si>
  <si>
    <t>на 01.01.2023 года</t>
  </si>
  <si>
    <t>2023 год</t>
  </si>
  <si>
    <t>Уточненный план на 2023 год</t>
  </si>
  <si>
    <t>Первоначальный план на 2023 год</t>
  </si>
  <si>
    <t>на дох физ лиц с дох свыше 5 млн</t>
  </si>
  <si>
    <t>Фактическое исполнение за январь-февраль</t>
  </si>
  <si>
    <t>на 01.03.2023 года</t>
  </si>
  <si>
    <t>Фактическое исполнение за январь-март</t>
  </si>
  <si>
    <t>Поступило за  март  2023 года</t>
  </si>
  <si>
    <t>Поступило за  март  2022 года</t>
  </si>
  <si>
    <t>2040500010</t>
  </si>
  <si>
    <t>2070500010</t>
  </si>
  <si>
    <t>Сведения об исполнении бюджета муниципального района по состоянию на  01 апреля   2023 года</t>
  </si>
  <si>
    <t xml:space="preserve">об исполнении бюджета Ленинского городского поселения на 01 апреля  2023 г. </t>
  </si>
  <si>
    <t>об исполнении бюджета Высокораменского сельского поселения на 01 апреля    2023 г.</t>
  </si>
  <si>
    <t>об исполнении бюджета Гостовского сельского поселения на 01 апреля  2023г.</t>
  </si>
  <si>
    <t>об исполнении бюджета Новотроицкого сельского поселения на 01 апреля  2023 г.</t>
  </si>
  <si>
    <t>об исполнении бюджета Черновского сельского поселения на 01  апреля  2023 г.</t>
  </si>
  <si>
    <t xml:space="preserve">об исполнении бюджета муниципального  образования на  01  апреля  2023 года </t>
  </si>
  <si>
    <t>на 01.04.2023 года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</si>
</sst>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0.000"/>
    <numFmt numFmtId="167" formatCode="000000"/>
  </numFmts>
  <fonts count="21">
    <font>
      <sz val="10"/>
      <name val="Arial Cyr"/>
      <charset val="204"/>
    </font>
    <font>
      <sz val="10"/>
      <name val="Arial Cyr"/>
      <charset val="204"/>
    </font>
    <font>
      <sz val="2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b/>
      <sz val="10"/>
      <name val="Arial Cyr"/>
      <charset val="204"/>
    </font>
    <font>
      <sz val="16"/>
      <name val="Arial Cyr"/>
      <charset val="204"/>
    </font>
    <font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65" fontId="3" fillId="2" borderId="0" xfId="0" applyNumberFormat="1" applyFont="1" applyFill="1" applyBorder="1"/>
    <xf numFmtId="165" fontId="3" fillId="0" borderId="0" xfId="0" applyNumberFormat="1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/>
    <xf numFmtId="0" fontId="7" fillId="4" borderId="3" xfId="0" applyFont="1" applyFill="1" applyBorder="1"/>
    <xf numFmtId="0" fontId="8" fillId="2" borderId="3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2" borderId="3" xfId="0" applyFont="1" applyFill="1" applyBorder="1"/>
    <xf numFmtId="0" fontId="7" fillId="3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5" borderId="3" xfId="0" applyFont="1" applyFill="1" applyBorder="1"/>
    <xf numFmtId="0" fontId="9" fillId="3" borderId="3" xfId="0" applyFont="1" applyFill="1" applyBorder="1" applyAlignment="1">
      <alignment horizontal="center"/>
    </xf>
    <xf numFmtId="0" fontId="9" fillId="4" borderId="3" xfId="0" applyFont="1" applyFill="1" applyBorder="1"/>
    <xf numFmtId="0" fontId="8" fillId="4" borderId="3" xfId="0" applyFont="1" applyFill="1" applyBorder="1" applyAlignment="1">
      <alignment wrapText="1"/>
    </xf>
    <xf numFmtId="0" fontId="9" fillId="3" borderId="3" xfId="0" applyFont="1" applyFill="1" applyBorder="1"/>
    <xf numFmtId="0" fontId="10" fillId="2" borderId="3" xfId="0" applyFont="1" applyFill="1" applyBorder="1"/>
    <xf numFmtId="0" fontId="10" fillId="0" borderId="3" xfId="0" applyFont="1" applyFill="1" applyBorder="1"/>
    <xf numFmtId="0" fontId="9" fillId="5" borderId="3" xfId="0" applyFont="1" applyFill="1" applyBorder="1"/>
    <xf numFmtId="49" fontId="10" fillId="2" borderId="3" xfId="0" applyNumberFormat="1" applyFont="1" applyFill="1" applyBorder="1" applyAlignment="1">
      <alignment horizontal="right"/>
    </xf>
    <xf numFmtId="0" fontId="10" fillId="5" borderId="3" xfId="0" applyFont="1" applyFill="1" applyBorder="1"/>
    <xf numFmtId="0" fontId="8" fillId="0" borderId="0" xfId="0" applyFont="1"/>
    <xf numFmtId="165" fontId="8" fillId="0" borderId="0" xfId="0" applyNumberFormat="1" applyFont="1"/>
    <xf numFmtId="0" fontId="11" fillId="2" borderId="3" xfId="0" applyFont="1" applyFill="1" applyBorder="1"/>
    <xf numFmtId="0" fontId="7" fillId="3" borderId="3" xfId="0" applyFont="1" applyFill="1" applyBorder="1" applyAlignment="1">
      <alignment wrapText="1"/>
    </xf>
    <xf numFmtId="0" fontId="8" fillId="4" borderId="3" xfId="0" applyFont="1" applyFill="1" applyBorder="1"/>
    <xf numFmtId="0" fontId="8" fillId="2" borderId="4" xfId="0" applyFont="1" applyFill="1" applyBorder="1"/>
    <xf numFmtId="0" fontId="7" fillId="3" borderId="3" xfId="0" applyFont="1" applyFill="1" applyBorder="1"/>
    <xf numFmtId="0" fontId="8" fillId="0" borderId="3" xfId="0" applyFont="1" applyBorder="1"/>
    <xf numFmtId="49" fontId="8" fillId="2" borderId="3" xfId="0" applyNumberFormat="1" applyFont="1" applyFill="1" applyBorder="1" applyAlignment="1">
      <alignment horizontal="right"/>
    </xf>
    <xf numFmtId="0" fontId="12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wrapText="1"/>
    </xf>
    <xf numFmtId="0" fontId="6" fillId="4" borderId="3" xfId="0" applyFont="1" applyFill="1" applyBorder="1"/>
    <xf numFmtId="0" fontId="6" fillId="4" borderId="3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12" fillId="3" borderId="3" xfId="0" applyFont="1" applyFill="1" applyBorder="1" applyAlignment="1">
      <alignment horizontal="center" wrapText="1"/>
    </xf>
    <xf numFmtId="0" fontId="12" fillId="3" borderId="3" xfId="0" applyFont="1" applyFill="1" applyBorder="1"/>
    <xf numFmtId="0" fontId="12" fillId="4" borderId="3" xfId="0" applyFont="1" applyFill="1" applyBorder="1"/>
    <xf numFmtId="0" fontId="6" fillId="0" borderId="3" xfId="0" applyFont="1" applyFill="1" applyBorder="1"/>
    <xf numFmtId="49" fontId="6" fillId="2" borderId="3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wrapText="1"/>
    </xf>
    <xf numFmtId="0" fontId="8" fillId="4" borderId="4" xfId="0" applyFont="1" applyFill="1" applyBorder="1"/>
    <xf numFmtId="0" fontId="8" fillId="2" borderId="0" xfId="0" applyFont="1" applyFill="1"/>
    <xf numFmtId="0" fontId="8" fillId="4" borderId="0" xfId="0" applyFont="1" applyFill="1" applyBorder="1"/>
    <xf numFmtId="0" fontId="14" fillId="3" borderId="3" xfId="0" applyFont="1" applyFill="1" applyBorder="1" applyAlignment="1">
      <alignment wrapText="1"/>
    </xf>
    <xf numFmtId="164" fontId="14" fillId="3" borderId="3" xfId="1" applyNumberFormat="1" applyFont="1" applyFill="1" applyBorder="1"/>
    <xf numFmtId="0" fontId="15" fillId="4" borderId="3" xfId="0" applyFont="1" applyFill="1" applyBorder="1" applyAlignment="1">
      <alignment wrapText="1"/>
    </xf>
    <xf numFmtId="164" fontId="15" fillId="4" borderId="3" xfId="1" applyNumberFormat="1" applyFont="1" applyFill="1" applyBorder="1"/>
    <xf numFmtId="0" fontId="15" fillId="0" borderId="3" xfId="0" applyFont="1" applyBorder="1" applyAlignment="1">
      <alignment wrapText="1"/>
    </xf>
    <xf numFmtId="0" fontId="15" fillId="0" borderId="3" xfId="0" applyFont="1" applyBorder="1"/>
    <xf numFmtId="164" fontId="15" fillId="2" borderId="3" xfId="1" applyNumberFormat="1" applyFont="1" applyFill="1" applyBorder="1"/>
    <xf numFmtId="0" fontId="15" fillId="4" borderId="3" xfId="0" applyFont="1" applyFill="1" applyBorder="1"/>
    <xf numFmtId="164" fontId="5" fillId="3" borderId="4" xfId="1" applyNumberFormat="1" applyFont="1" applyFill="1" applyBorder="1"/>
    <xf numFmtId="0" fontId="16" fillId="4" borderId="4" xfId="0" applyFont="1" applyFill="1" applyBorder="1"/>
    <xf numFmtId="164" fontId="16" fillId="4" borderId="4" xfId="1" applyNumberFormat="1" applyFont="1" applyFill="1" applyBorder="1"/>
    <xf numFmtId="0" fontId="16" fillId="2" borderId="4" xfId="0" applyFont="1" applyFill="1" applyBorder="1"/>
    <xf numFmtId="165" fontId="16" fillId="2" borderId="3" xfId="0" applyNumberFormat="1" applyFont="1" applyFill="1" applyBorder="1"/>
    <xf numFmtId="165" fontId="16" fillId="2" borderId="4" xfId="0" applyNumberFormat="1" applyFont="1" applyFill="1" applyBorder="1"/>
    <xf numFmtId="164" fontId="16" fillId="2" borderId="4" xfId="1" applyNumberFormat="1" applyFont="1" applyFill="1" applyBorder="1"/>
    <xf numFmtId="0" fontId="16" fillId="2" borderId="3" xfId="0" applyFont="1" applyFill="1" applyBorder="1"/>
    <xf numFmtId="0" fontId="16" fillId="4" borderId="3" xfId="0" applyFont="1" applyFill="1" applyBorder="1"/>
    <xf numFmtId="165" fontId="16" fillId="4" borderId="3" xfId="0" applyNumberFormat="1" applyFont="1" applyFill="1" applyBorder="1"/>
    <xf numFmtId="0" fontId="16" fillId="2" borderId="3" xfId="0" applyNumberFormat="1" applyFont="1" applyFill="1" applyBorder="1"/>
    <xf numFmtId="165" fontId="16" fillId="4" borderId="4" xfId="0" applyNumberFormat="1" applyFont="1" applyFill="1" applyBorder="1"/>
    <xf numFmtId="0" fontId="5" fillId="3" borderId="3" xfId="0" applyFont="1" applyFill="1" applyBorder="1"/>
    <xf numFmtId="164" fontId="16" fillId="2" borderId="3" xfId="1" applyNumberFormat="1" applyFont="1" applyFill="1" applyBorder="1"/>
    <xf numFmtId="166" fontId="5" fillId="4" borderId="3" xfId="0" applyNumberFormat="1" applyFont="1" applyFill="1" applyBorder="1"/>
    <xf numFmtId="165" fontId="5" fillId="4" borderId="3" xfId="0" applyNumberFormat="1" applyFont="1" applyFill="1" applyBorder="1"/>
    <xf numFmtId="164" fontId="5" fillId="4" borderId="4" xfId="1" applyNumberFormat="1" applyFont="1" applyFill="1" applyBorder="1"/>
    <xf numFmtId="166" fontId="16" fillId="2" borderId="4" xfId="0" applyNumberFormat="1" applyFont="1" applyFill="1" applyBorder="1"/>
    <xf numFmtId="2" fontId="16" fillId="2" borderId="3" xfId="0" applyNumberFormat="1" applyFont="1" applyFill="1" applyBorder="1"/>
    <xf numFmtId="166" fontId="16" fillId="2" borderId="3" xfId="0" applyNumberFormat="1" applyFont="1" applyFill="1" applyBorder="1"/>
    <xf numFmtId="2" fontId="5" fillId="3" borderId="4" xfId="0" applyNumberFormat="1" applyFont="1" applyFill="1" applyBorder="1" applyAlignment="1">
      <alignment wrapText="1"/>
    </xf>
    <xf numFmtId="2" fontId="16" fillId="4" borderId="4" xfId="0" applyNumberFormat="1" applyFont="1" applyFill="1" applyBorder="1"/>
    <xf numFmtId="165" fontId="5" fillId="3" borderId="3" xfId="0" applyNumberFormat="1" applyFont="1" applyFill="1" applyBorder="1"/>
    <xf numFmtId="164" fontId="16" fillId="4" borderId="3" xfId="1" applyNumberFormat="1" applyFont="1" applyFill="1" applyBorder="1"/>
    <xf numFmtId="2" fontId="5" fillId="4" borderId="3" xfId="0" applyNumberFormat="1" applyFont="1" applyFill="1" applyBorder="1"/>
    <xf numFmtId="0" fontId="5" fillId="3" borderId="3" xfId="0" applyFont="1" applyFill="1" applyBorder="1" applyAlignment="1">
      <alignment wrapText="1"/>
    </xf>
    <xf numFmtId="164" fontId="5" fillId="3" borderId="3" xfId="1" applyNumberFormat="1" applyFont="1" applyFill="1" applyBorder="1"/>
    <xf numFmtId="164" fontId="5" fillId="4" borderId="3" xfId="1" applyNumberFormat="1" applyFont="1" applyFill="1" applyBorder="1"/>
    <xf numFmtId="0" fontId="5" fillId="4" borderId="3" xfId="0" applyFont="1" applyFill="1" applyBorder="1"/>
    <xf numFmtId="0" fontId="16" fillId="4" borderId="3" xfId="0" applyNumberFormat="1" applyFont="1" applyFill="1" applyBorder="1"/>
    <xf numFmtId="2" fontId="13" fillId="3" borderId="3" xfId="0" applyNumberFormat="1" applyFont="1" applyFill="1" applyBorder="1" applyAlignment="1">
      <alignment horizontal="right"/>
    </xf>
    <xf numFmtId="164" fontId="13" fillId="3" borderId="3" xfId="1" applyNumberFormat="1" applyFont="1" applyFill="1" applyBorder="1"/>
    <xf numFmtId="165" fontId="13" fillId="4" borderId="3" xfId="0" applyNumberFormat="1" applyFont="1" applyFill="1" applyBorder="1"/>
    <xf numFmtId="164" fontId="13" fillId="4" borderId="3" xfId="1" applyNumberFormat="1" applyFont="1" applyFill="1" applyBorder="1"/>
    <xf numFmtId="0" fontId="13" fillId="2" borderId="3" xfId="0" applyFont="1" applyFill="1" applyBorder="1"/>
    <xf numFmtId="2" fontId="13" fillId="2" borderId="3" xfId="0" applyNumberFormat="1" applyFont="1" applyFill="1" applyBorder="1" applyAlignment="1">
      <alignment horizontal="right" vertical="center" wrapText="1"/>
    </xf>
    <xf numFmtId="165" fontId="13" fillId="2" borderId="3" xfId="0" applyNumberFormat="1" applyFont="1" applyFill="1" applyBorder="1"/>
    <xf numFmtId="164" fontId="13" fillId="2" borderId="3" xfId="1" applyNumberFormat="1" applyFont="1" applyFill="1" applyBorder="1"/>
    <xf numFmtId="165" fontId="13" fillId="2" borderId="3" xfId="0" applyNumberFormat="1" applyFont="1" applyFill="1" applyBorder="1" applyAlignment="1">
      <alignment horizontal="right" vertical="center" wrapText="1"/>
    </xf>
    <xf numFmtId="0" fontId="13" fillId="4" borderId="3" xfId="0" applyFont="1" applyFill="1" applyBorder="1"/>
    <xf numFmtId="2" fontId="13" fillId="4" borderId="3" xfId="0" applyNumberFormat="1" applyFont="1" applyFill="1" applyBorder="1"/>
    <xf numFmtId="165" fontId="13" fillId="4" borderId="3" xfId="0" applyNumberFormat="1" applyFont="1" applyFill="1" applyBorder="1" applyAlignment="1">
      <alignment horizontal="right" vertical="center" wrapText="1"/>
    </xf>
    <xf numFmtId="0" fontId="17" fillId="4" borderId="3" xfId="0" applyFont="1" applyFill="1" applyBorder="1"/>
    <xf numFmtId="166" fontId="13" fillId="3" borderId="3" xfId="0" applyNumberFormat="1" applyFont="1" applyFill="1" applyBorder="1"/>
    <xf numFmtId="0" fontId="13" fillId="3" borderId="3" xfId="0" applyFont="1" applyFill="1" applyBorder="1"/>
    <xf numFmtId="0" fontId="17" fillId="2" borderId="3" xfId="0" applyFont="1" applyFill="1" applyBorder="1"/>
    <xf numFmtId="0" fontId="13" fillId="0" borderId="3" xfId="0" applyFont="1" applyFill="1" applyBorder="1"/>
    <xf numFmtId="165" fontId="13" fillId="0" borderId="3" xfId="0" applyNumberFormat="1" applyFont="1" applyFill="1" applyBorder="1"/>
    <xf numFmtId="0" fontId="17" fillId="0" borderId="3" xfId="0" applyFont="1" applyFill="1" applyBorder="1"/>
    <xf numFmtId="166" fontId="13" fillId="5" borderId="3" xfId="0" applyNumberFormat="1" applyFont="1" applyFill="1" applyBorder="1"/>
    <xf numFmtId="0" fontId="13" fillId="5" borderId="3" xfId="0" applyFont="1" applyFill="1" applyBorder="1"/>
    <xf numFmtId="0" fontId="13" fillId="5" borderId="3" xfId="0" applyFont="1" applyFill="1" applyBorder="1" applyAlignment="1">
      <alignment horizontal="right"/>
    </xf>
    <xf numFmtId="165" fontId="13" fillId="5" borderId="3" xfId="0" applyNumberFormat="1" applyFont="1" applyFill="1" applyBorder="1"/>
    <xf numFmtId="164" fontId="13" fillId="5" borderId="3" xfId="1" applyNumberFormat="1" applyFont="1" applyFill="1" applyBorder="1"/>
    <xf numFmtId="166" fontId="13" fillId="2" borderId="3" xfId="0" applyNumberFormat="1" applyFont="1" applyFill="1" applyBorder="1"/>
    <xf numFmtId="166" fontId="13" fillId="2" borderId="3" xfId="0" applyNumberFormat="1" applyFont="1" applyFill="1" applyBorder="1" applyAlignment="1">
      <alignment horizontal="right" vertical="center" wrapText="1"/>
    </xf>
    <xf numFmtId="165" fontId="13" fillId="3" borderId="3" xfId="0" applyNumberFormat="1" applyFont="1" applyFill="1" applyBorder="1" applyAlignment="1">
      <alignment horizontal="right"/>
    </xf>
    <xf numFmtId="165" fontId="14" fillId="3" borderId="3" xfId="0" applyNumberFormat="1" applyFont="1" applyFill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5" fillId="4" borderId="3" xfId="0" applyNumberFormat="1" applyFont="1" applyFill="1" applyBorder="1"/>
    <xf numFmtId="166" fontId="13" fillId="3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horizontal="center" vertical="center" wrapText="1"/>
    </xf>
    <xf numFmtId="2" fontId="16" fillId="4" borderId="3" xfId="0" applyNumberFormat="1" applyFont="1" applyFill="1" applyBorder="1"/>
    <xf numFmtId="49" fontId="15" fillId="2" borderId="3" xfId="0" applyNumberFormat="1" applyFont="1" applyFill="1" applyBorder="1" applyAlignment="1">
      <alignment horizontal="right"/>
    </xf>
    <xf numFmtId="166" fontId="16" fillId="4" borderId="3" xfId="0" applyNumberFormat="1" applyFont="1" applyFill="1" applyBorder="1"/>
    <xf numFmtId="0" fontId="16" fillId="2" borderId="5" xfId="0" applyFont="1" applyFill="1" applyBorder="1"/>
    <xf numFmtId="166" fontId="15" fillId="0" borderId="3" xfId="0" applyNumberFormat="1" applyFont="1" applyBorder="1"/>
    <xf numFmtId="165" fontId="19" fillId="0" borderId="0" xfId="0" applyNumberFormat="1" applyFont="1"/>
    <xf numFmtId="0" fontId="16" fillId="6" borderId="3" xfId="0" applyFont="1" applyFill="1" applyBorder="1"/>
    <xf numFmtId="0" fontId="16" fillId="6" borderId="4" xfId="0" applyFont="1" applyFill="1" applyBorder="1"/>
    <xf numFmtId="164" fontId="16" fillId="6" borderId="4" xfId="1" applyNumberFormat="1" applyFont="1" applyFill="1" applyBorder="1"/>
    <xf numFmtId="0" fontId="14" fillId="3" borderId="3" xfId="0" applyNumberFormat="1" applyFont="1" applyFill="1" applyBorder="1" applyAlignment="1">
      <alignment wrapText="1"/>
    </xf>
    <xf numFmtId="0" fontId="15" fillId="4" borderId="3" xfId="0" applyNumberFormat="1" applyFont="1" applyFill="1" applyBorder="1" applyAlignment="1">
      <alignment wrapText="1"/>
    </xf>
    <xf numFmtId="0" fontId="15" fillId="0" borderId="3" xfId="0" applyNumberFormat="1" applyFont="1" applyBorder="1"/>
    <xf numFmtId="0" fontId="15" fillId="4" borderId="3" xfId="0" applyNumberFormat="1" applyFont="1" applyFill="1" applyBorder="1"/>
    <xf numFmtId="165" fontId="0" fillId="0" borderId="0" xfId="0" applyNumberFormat="1"/>
    <xf numFmtId="2" fontId="5" fillId="3" borderId="3" xfId="0" applyNumberFormat="1" applyFont="1" applyFill="1" applyBorder="1" applyAlignment="1">
      <alignment wrapText="1"/>
    </xf>
    <xf numFmtId="0" fontId="16" fillId="0" borderId="3" xfId="0" applyFont="1" applyFill="1" applyBorder="1"/>
    <xf numFmtId="0" fontId="16" fillId="0" borderId="4" xfId="0" applyFont="1" applyFill="1" applyBorder="1"/>
    <xf numFmtId="165" fontId="16" fillId="0" borderId="4" xfId="0" applyNumberFormat="1" applyFont="1" applyFill="1" applyBorder="1"/>
    <xf numFmtId="164" fontId="16" fillId="0" borderId="4" xfId="1" applyNumberFormat="1" applyFont="1" applyFill="1" applyBorder="1"/>
    <xf numFmtId="0" fontId="12" fillId="6" borderId="3" xfId="0" applyFont="1" applyFill="1" applyBorder="1"/>
    <xf numFmtId="165" fontId="16" fillId="6" borderId="4" xfId="0" applyNumberFormat="1" applyFont="1" applyFill="1" applyBorder="1"/>
    <xf numFmtId="0" fontId="15" fillId="6" borderId="3" xfId="0" applyFont="1" applyFill="1" applyBorder="1"/>
    <xf numFmtId="0" fontId="16" fillId="0" borderId="6" xfId="0" applyFont="1" applyFill="1" applyBorder="1"/>
    <xf numFmtId="0" fontId="8" fillId="0" borderId="7" xfId="0" applyFont="1" applyFill="1" applyBorder="1"/>
    <xf numFmtId="0" fontId="16" fillId="6" borderId="6" xfId="0" applyFont="1" applyFill="1" applyBorder="1"/>
    <xf numFmtId="166" fontId="5" fillId="3" borderId="3" xfId="0" applyNumberFormat="1" applyFont="1" applyFill="1" applyBorder="1"/>
    <xf numFmtId="166" fontId="13" fillId="4" borderId="3" xfId="0" applyNumberFormat="1" applyFont="1" applyFill="1" applyBorder="1"/>
    <xf numFmtId="164" fontId="5" fillId="0" borderId="8" xfId="1" applyNumberFormat="1" applyFont="1" applyFill="1" applyBorder="1"/>
    <xf numFmtId="164" fontId="16" fillId="0" borderId="8" xfId="1" applyNumberFormat="1" applyFont="1" applyFill="1" applyBorder="1"/>
    <xf numFmtId="2" fontId="13" fillId="0" borderId="3" xfId="0" applyNumberFormat="1" applyFont="1" applyFill="1" applyBorder="1"/>
    <xf numFmtId="0" fontId="15" fillId="0" borderId="5" xfId="0" applyFont="1" applyFill="1" applyBorder="1"/>
    <xf numFmtId="49" fontId="6" fillId="2" borderId="3" xfId="0" applyNumberFormat="1" applyFont="1" applyFill="1" applyBorder="1" applyAlignment="1">
      <alignment horizontal="center"/>
    </xf>
    <xf numFmtId="0" fontId="0" fillId="0" borderId="0" xfId="0" applyBorder="1"/>
    <xf numFmtId="0" fontId="14" fillId="0" borderId="5" xfId="0" applyFont="1" applyFill="1" applyBorder="1" applyAlignment="1">
      <alignment wrapText="1"/>
    </xf>
    <xf numFmtId="165" fontId="5" fillId="0" borderId="5" xfId="0" applyNumberFormat="1" applyFont="1" applyFill="1" applyBorder="1"/>
    <xf numFmtId="165" fontId="5" fillId="3" borderId="3" xfId="0" applyNumberFormat="1" applyFont="1" applyFill="1" applyBorder="1" applyAlignment="1">
      <alignment wrapText="1"/>
    </xf>
    <xf numFmtId="165" fontId="18" fillId="0" borderId="0" xfId="0" applyNumberFormat="1" applyFont="1"/>
    <xf numFmtId="166" fontId="14" fillId="3" borderId="3" xfId="0" applyNumberFormat="1" applyFont="1" applyFill="1" applyBorder="1" applyAlignment="1">
      <alignment wrapText="1"/>
    </xf>
    <xf numFmtId="0" fontId="15" fillId="0" borderId="0" xfId="0" applyFont="1" applyFill="1" applyBorder="1"/>
    <xf numFmtId="2" fontId="16" fillId="2" borderId="4" xfId="0" applyNumberFormat="1" applyFont="1" applyFill="1" applyBorder="1"/>
    <xf numFmtId="0" fontId="16" fillId="0" borderId="0" xfId="0" applyFont="1"/>
    <xf numFmtId="165" fontId="7" fillId="0" borderId="0" xfId="0" applyNumberFormat="1" applyFont="1"/>
    <xf numFmtId="166" fontId="18" fillId="0" borderId="0" xfId="0" applyNumberFormat="1" applyFont="1"/>
    <xf numFmtId="165" fontId="13" fillId="4" borderId="7" xfId="0" applyNumberFormat="1" applyFont="1" applyFill="1" applyBorder="1"/>
    <xf numFmtId="0" fontId="8" fillId="0" borderId="0" xfId="0" applyFont="1" applyBorder="1"/>
    <xf numFmtId="0" fontId="8" fillId="2" borderId="8" xfId="0" applyFont="1" applyFill="1" applyBorder="1"/>
    <xf numFmtId="0" fontId="8" fillId="2" borderId="5" xfId="0" applyFont="1" applyFill="1" applyBorder="1"/>
    <xf numFmtId="0" fontId="8" fillId="0" borderId="5" xfId="0" applyFont="1" applyFill="1" applyBorder="1"/>
    <xf numFmtId="166" fontId="8" fillId="0" borderId="0" xfId="0" applyNumberFormat="1" applyFont="1"/>
    <xf numFmtId="166" fontId="0" fillId="0" borderId="0" xfId="0" applyNumberFormat="1"/>
    <xf numFmtId="165" fontId="16" fillId="0" borderId="8" xfId="0" applyNumberFormat="1" applyFont="1" applyFill="1" applyBorder="1"/>
    <xf numFmtId="167" fontId="6" fillId="2" borderId="3" xfId="0" applyNumberFormat="1" applyFont="1" applyFill="1" applyBorder="1"/>
    <xf numFmtId="0" fontId="6" fillId="2" borderId="3" xfId="0" applyFont="1" applyFill="1" applyBorder="1" applyAlignment="1">
      <alignment horizontal="left"/>
    </xf>
    <xf numFmtId="0" fontId="20" fillId="2" borderId="3" xfId="0" applyFont="1" applyFill="1" applyBorder="1"/>
    <xf numFmtId="167" fontId="11" fillId="2" borderId="3" xfId="0" applyNumberFormat="1" applyFont="1" applyFill="1" applyBorder="1"/>
    <xf numFmtId="166" fontId="13" fillId="5" borderId="3" xfId="0" applyNumberFormat="1" applyFont="1" applyFill="1" applyBorder="1" applyAlignment="1">
      <alignment horizontal="right"/>
    </xf>
    <xf numFmtId="165" fontId="15" fillId="0" borderId="3" xfId="0" applyNumberFormat="1" applyFont="1" applyBorder="1"/>
    <xf numFmtId="2" fontId="13" fillId="2" borderId="3" xfId="0" applyNumberFormat="1" applyFont="1" applyFill="1" applyBorder="1"/>
    <xf numFmtId="166" fontId="16" fillId="0" borderId="4" xfId="0" applyNumberFormat="1" applyFont="1" applyFill="1" applyBorder="1"/>
    <xf numFmtId="2" fontId="16" fillId="0" borderId="4" xfId="0" applyNumberFormat="1" applyFont="1" applyFill="1" applyBorder="1"/>
    <xf numFmtId="0" fontId="15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10" xfId="0" applyFont="1" applyBorder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Normal="100" zoomScaleSheetLayoutView="50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Q6" sqref="Q6:Q21"/>
    </sheetView>
  </sheetViews>
  <sheetFormatPr defaultRowHeight="12.75"/>
  <cols>
    <col min="1" max="1" width="40.85546875" customWidth="1"/>
    <col min="2" max="2" width="14" customWidth="1"/>
    <col min="3" max="3" width="16" customWidth="1"/>
    <col min="4" max="4" width="14.42578125" customWidth="1"/>
    <col min="5" max="5" width="15.140625" customWidth="1"/>
    <col min="6" max="6" width="11.85546875" hidden="1" customWidth="1"/>
    <col min="7" max="7" width="12.42578125" customWidth="1"/>
    <col min="8" max="8" width="12.5703125" customWidth="1"/>
    <col min="9" max="9" width="11.7109375" customWidth="1"/>
    <col min="10" max="10" width="10.85546875" hidden="1" customWidth="1"/>
    <col min="11" max="11" width="13.28515625" customWidth="1"/>
    <col min="12" max="12" width="12.28515625" customWidth="1"/>
    <col min="13" max="13" width="12.85546875" customWidth="1"/>
    <col min="14" max="14" width="13" customWidth="1"/>
    <col min="15" max="15" width="14.7109375" customWidth="1"/>
    <col min="16" max="16" width="12.5703125" customWidth="1"/>
    <col min="17" max="17" width="11.85546875" customWidth="1"/>
    <col min="18" max="18" width="10.7109375" customWidth="1"/>
    <col min="19" max="19" width="14.5703125" customWidth="1"/>
  </cols>
  <sheetData>
    <row r="1" spans="1:19" ht="24.75" customHeight="1">
      <c r="A1" s="194" t="s">
        <v>130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9" ht="20.25" customHeight="1">
      <c r="A2" s="193" t="s">
        <v>28</v>
      </c>
      <c r="B2" s="193" t="s">
        <v>4</v>
      </c>
      <c r="C2" s="193" t="s">
        <v>121</v>
      </c>
      <c r="D2" s="193" t="s">
        <v>24</v>
      </c>
      <c r="E2" s="193" t="s">
        <v>120</v>
      </c>
      <c r="F2" s="193" t="s">
        <v>99</v>
      </c>
      <c r="G2" s="193" t="s">
        <v>123</v>
      </c>
      <c r="H2" s="193" t="s">
        <v>119</v>
      </c>
      <c r="I2" s="193"/>
      <c r="J2" s="193"/>
      <c r="K2" s="193" t="s">
        <v>114</v>
      </c>
      <c r="L2" s="193"/>
      <c r="M2" s="193" t="s">
        <v>126</v>
      </c>
      <c r="N2" s="193" t="s">
        <v>127</v>
      </c>
      <c r="O2" s="193" t="s">
        <v>30</v>
      </c>
      <c r="P2" s="193" t="s">
        <v>9</v>
      </c>
      <c r="Q2" s="193"/>
      <c r="R2" s="193"/>
    </row>
    <row r="3" spans="1:19" ht="97.5" customHeight="1">
      <c r="A3" s="193"/>
      <c r="B3" s="193"/>
      <c r="C3" s="193"/>
      <c r="D3" s="193"/>
      <c r="E3" s="193"/>
      <c r="F3" s="193"/>
      <c r="G3" s="193"/>
      <c r="H3" s="188" t="s">
        <v>125</v>
      </c>
      <c r="I3" s="47" t="s">
        <v>10</v>
      </c>
      <c r="J3" s="47" t="s">
        <v>29</v>
      </c>
      <c r="K3" s="188" t="s">
        <v>125</v>
      </c>
      <c r="L3" s="47" t="s">
        <v>30</v>
      </c>
      <c r="M3" s="193"/>
      <c r="N3" s="193"/>
      <c r="O3" s="193"/>
      <c r="P3" s="122" t="s">
        <v>118</v>
      </c>
      <c r="Q3" s="122" t="s">
        <v>124</v>
      </c>
      <c r="R3" s="122" t="s">
        <v>137</v>
      </c>
    </row>
    <row r="4" spans="1:19" ht="18.75">
      <c r="A4" s="35" t="s">
        <v>21</v>
      </c>
      <c r="B4" s="36"/>
      <c r="C4" s="56">
        <f t="shared" ref="C4:H4" si="0">C5+C10+C15+C21+C22+C23</f>
        <v>82561.399999999994</v>
      </c>
      <c r="D4" s="56">
        <f t="shared" si="0"/>
        <v>0</v>
      </c>
      <c r="E4" s="56">
        <f t="shared" si="0"/>
        <v>82561.399999999994</v>
      </c>
      <c r="F4" s="56">
        <f t="shared" si="0"/>
        <v>28287.7</v>
      </c>
      <c r="G4" s="56">
        <f t="shared" si="0"/>
        <v>3834.7000000000003</v>
      </c>
      <c r="H4" s="56">
        <f t="shared" si="0"/>
        <v>17615.400000000001</v>
      </c>
      <c r="I4" s="57">
        <f>IF(E4&gt;0,H4/E4,0)</f>
        <v>0.21336120753766291</v>
      </c>
      <c r="J4" s="57">
        <f>IF(F4&gt;0,H4/F4,0)</f>
        <v>0.62272295025753244</v>
      </c>
      <c r="K4" s="56">
        <f>K5+K10+K15+K21+K22+K23</f>
        <v>17955.099999999999</v>
      </c>
      <c r="L4" s="57">
        <f t="shared" ref="L4:L52" si="1">IF(K4&gt;0,H4/K4,0)</f>
        <v>0.98108058434650891</v>
      </c>
      <c r="M4" s="56">
        <f>M5+M10+M15+M21+M22+M23</f>
        <v>13780.699999999999</v>
      </c>
      <c r="N4" s="56">
        <f>N5+N10+N15+N21+N22+N23</f>
        <v>8525.6999999999989</v>
      </c>
      <c r="O4" s="57">
        <f t="shared" ref="O4:O52" si="2">IF(N4&gt;0,M4/N4,0)</f>
        <v>1.6163716762259992</v>
      </c>
      <c r="P4" s="56">
        <f>P5+P10+P15+P21+P22+P23</f>
        <v>504.5</v>
      </c>
      <c r="Q4" s="56">
        <f>Q5+Q10+Q15+Q21+Q22+Q23</f>
        <v>1592.9999999999998</v>
      </c>
      <c r="R4" s="56">
        <f>R5+R10+R15+R21+R22+R23</f>
        <v>0</v>
      </c>
    </row>
    <row r="5" spans="1:19" ht="18.75">
      <c r="A5" s="37" t="s">
        <v>63</v>
      </c>
      <c r="B5" s="38">
        <v>1010200001</v>
      </c>
      <c r="C5" s="58">
        <f t="shared" ref="C5:F5" si="3">SUM(C6:C8)</f>
        <v>18378.8</v>
      </c>
      <c r="D5" s="58">
        <f t="shared" si="3"/>
        <v>0</v>
      </c>
      <c r="E5" s="58">
        <f t="shared" si="3"/>
        <v>18378.8</v>
      </c>
      <c r="F5" s="58">
        <f t="shared" si="3"/>
        <v>9897.8000000000011</v>
      </c>
      <c r="G5" s="58">
        <f>SUM(G6:G9)</f>
        <v>911.80000000000007</v>
      </c>
      <c r="H5" s="58">
        <f>SUM(H6:H9)</f>
        <v>3226.1</v>
      </c>
      <c r="I5" s="59">
        <f>IF(E5&gt;0,H5/E5,0)</f>
        <v>0.17553376716651795</v>
      </c>
      <c r="J5" s="59">
        <f>IF(F5&gt;0,H5/F5,0)</f>
        <v>0.32594111822829314</v>
      </c>
      <c r="K5" s="58">
        <f>SUM(K6:K8)</f>
        <v>3610.7000000000003</v>
      </c>
      <c r="L5" s="59">
        <f t="shared" si="1"/>
        <v>0.89348325809399831</v>
      </c>
      <c r="M5" s="58">
        <f>SUM(M6:M9)</f>
        <v>2314.2999999999997</v>
      </c>
      <c r="N5" s="58">
        <f>SUM(N6:N8)</f>
        <v>1133.2</v>
      </c>
      <c r="O5" s="59">
        <f t="shared" si="2"/>
        <v>2.0422696787857393</v>
      </c>
      <c r="P5" s="58">
        <f>SUM(P6:P8)</f>
        <v>313.2</v>
      </c>
      <c r="Q5" s="58">
        <f>SUM(Q6:Q8)</f>
        <v>553.59999999999991</v>
      </c>
      <c r="R5" s="58">
        <f>SUM(R6:R8)</f>
        <v>0</v>
      </c>
    </row>
    <row r="6" spans="1:19" ht="18.75" customHeight="1">
      <c r="A6" s="40" t="s">
        <v>40</v>
      </c>
      <c r="B6" s="8">
        <v>1010201001</v>
      </c>
      <c r="C6" s="60">
        <v>18228.8</v>
      </c>
      <c r="D6" s="61"/>
      <c r="E6" s="61">
        <f>C6+D6</f>
        <v>18228.8</v>
      </c>
      <c r="F6" s="61">
        <f>2700+346+3300+3328.7+150</f>
        <v>9824.7000000000007</v>
      </c>
      <c r="G6" s="61">
        <v>909.7</v>
      </c>
      <c r="H6" s="61">
        <f>G6+M6</f>
        <v>3223.8999999999996</v>
      </c>
      <c r="I6" s="62">
        <f t="shared" ref="I6:I52" si="4">IF(E6&gt;0,H6/E6,0)</f>
        <v>0.17685750021943297</v>
      </c>
      <c r="J6" s="62">
        <f t="shared" ref="J6:J52" si="5">IF(F6&gt;0,H6/F6,0)</f>
        <v>0.32814233513491498</v>
      </c>
      <c r="K6" s="61">
        <v>3546.8</v>
      </c>
      <c r="L6" s="62">
        <f t="shared" si="1"/>
        <v>0.90896018946656121</v>
      </c>
      <c r="M6" s="61">
        <v>2314.1999999999998</v>
      </c>
      <c r="N6" s="61">
        <v>1120.7</v>
      </c>
      <c r="O6" s="62">
        <f t="shared" si="2"/>
        <v>2.0649594003747653</v>
      </c>
      <c r="P6" s="61">
        <v>56.2</v>
      </c>
      <c r="Q6" s="61">
        <v>289.39999999999998</v>
      </c>
      <c r="R6" s="61"/>
      <c r="S6" s="26"/>
    </row>
    <row r="7" spans="1:19" ht="21" customHeight="1">
      <c r="A7" s="40" t="s">
        <v>41</v>
      </c>
      <c r="B7" s="8">
        <v>1010202001</v>
      </c>
      <c r="C7" s="60">
        <v>70</v>
      </c>
      <c r="D7" s="61"/>
      <c r="E7" s="61">
        <f t="shared" ref="E7:E23" si="6">C7+D7</f>
        <v>70</v>
      </c>
      <c r="F7" s="61">
        <f>26.1</f>
        <v>26.1</v>
      </c>
      <c r="G7" s="61"/>
      <c r="H7" s="61">
        <f>G7+M7</f>
        <v>0</v>
      </c>
      <c r="I7" s="62">
        <f t="shared" si="4"/>
        <v>0</v>
      </c>
      <c r="J7" s="62">
        <f t="shared" si="5"/>
        <v>0</v>
      </c>
      <c r="K7" s="61"/>
      <c r="L7" s="62">
        <f t="shared" si="1"/>
        <v>0</v>
      </c>
      <c r="M7" s="61"/>
      <c r="N7" s="61">
        <v>-1</v>
      </c>
      <c r="O7" s="62">
        <f t="shared" si="2"/>
        <v>0</v>
      </c>
      <c r="P7" s="61"/>
      <c r="Q7" s="61"/>
      <c r="R7" s="61"/>
      <c r="S7" s="26"/>
    </row>
    <row r="8" spans="1:19" ht="21" customHeight="1">
      <c r="A8" s="40" t="s">
        <v>42</v>
      </c>
      <c r="B8" s="8">
        <v>1010203001</v>
      </c>
      <c r="C8" s="60">
        <v>80</v>
      </c>
      <c r="D8" s="61"/>
      <c r="E8" s="61">
        <f t="shared" si="6"/>
        <v>80</v>
      </c>
      <c r="F8" s="61">
        <f>2+45</f>
        <v>47</v>
      </c>
      <c r="G8" s="61">
        <v>-1.1000000000000001</v>
      </c>
      <c r="H8" s="61">
        <f>G8+M8</f>
        <v>-1.1000000000000001</v>
      </c>
      <c r="I8" s="62">
        <f t="shared" si="4"/>
        <v>-1.3750000000000002E-2</v>
      </c>
      <c r="J8" s="62">
        <f t="shared" si="5"/>
        <v>-2.3404255319148939E-2</v>
      </c>
      <c r="K8" s="61">
        <v>63.9</v>
      </c>
      <c r="L8" s="62">
        <f t="shared" si="1"/>
        <v>-1.7214397496087639E-2</v>
      </c>
      <c r="M8" s="61"/>
      <c r="N8" s="61">
        <v>13.5</v>
      </c>
      <c r="O8" s="62">
        <f t="shared" si="2"/>
        <v>0</v>
      </c>
      <c r="P8" s="61">
        <v>257</v>
      </c>
      <c r="Q8" s="61">
        <v>264.2</v>
      </c>
      <c r="R8" s="61"/>
      <c r="S8" s="26"/>
    </row>
    <row r="9" spans="1:19" ht="21" customHeight="1">
      <c r="A9" s="40" t="s">
        <v>122</v>
      </c>
      <c r="B9" s="8">
        <v>1010208001</v>
      </c>
      <c r="C9" s="60"/>
      <c r="D9" s="61"/>
      <c r="E9" s="61"/>
      <c r="F9" s="61"/>
      <c r="G9" s="61">
        <v>3.2</v>
      </c>
      <c r="H9" s="61">
        <f>G9+M9</f>
        <v>3.3000000000000003</v>
      </c>
      <c r="I9" s="62">
        <f t="shared" ref="I9" si="7">IF(E9&gt;0,H9/E9,0)</f>
        <v>0</v>
      </c>
      <c r="J9" s="62"/>
      <c r="K9" s="61"/>
      <c r="L9" s="62"/>
      <c r="M9" s="61">
        <v>0.1</v>
      </c>
      <c r="N9" s="61"/>
      <c r="O9" s="62"/>
      <c r="P9" s="61"/>
      <c r="Q9" s="61"/>
      <c r="R9" s="61"/>
      <c r="S9" s="26"/>
    </row>
    <row r="10" spans="1:19" ht="18" customHeight="1">
      <c r="A10" s="37" t="s">
        <v>48</v>
      </c>
      <c r="B10" s="39">
        <v>1030200001</v>
      </c>
      <c r="C10" s="58">
        <f t="shared" ref="C10:H10" si="8">SUM(C11:C14)</f>
        <v>9152.6</v>
      </c>
      <c r="D10" s="58">
        <f t="shared" si="8"/>
        <v>0</v>
      </c>
      <c r="E10" s="58">
        <f t="shared" si="8"/>
        <v>9152.6</v>
      </c>
      <c r="F10" s="58">
        <f>925+200+490+1350+1800</f>
        <v>4765</v>
      </c>
      <c r="G10" s="58">
        <f>SUM(G11:G14)</f>
        <v>1163.5</v>
      </c>
      <c r="H10" s="58">
        <f t="shared" si="8"/>
        <v>2460.5000000000005</v>
      </c>
      <c r="I10" s="59">
        <f t="shared" si="4"/>
        <v>0.26883071476957371</v>
      </c>
      <c r="J10" s="59">
        <f t="shared" si="5"/>
        <v>0.5163693599160547</v>
      </c>
      <c r="K10" s="58">
        <f>SUM(K11:K14)</f>
        <v>2264.2999999999997</v>
      </c>
      <c r="L10" s="59">
        <f t="shared" si="1"/>
        <v>1.0866492955880407</v>
      </c>
      <c r="M10" s="58">
        <f>SUM(M11:M14)</f>
        <v>1297</v>
      </c>
      <c r="N10" s="58">
        <f>SUM(N11:N14)</f>
        <v>1442</v>
      </c>
      <c r="O10" s="59">
        <f t="shared" si="2"/>
        <v>0.89944521497919561</v>
      </c>
      <c r="P10" s="58">
        <f>SUM(P11:P14)</f>
        <v>0</v>
      </c>
      <c r="Q10" s="58">
        <f>SUM(Q11:Q14)</f>
        <v>0</v>
      </c>
      <c r="R10" s="58">
        <f>SUM(R11:R14)</f>
        <v>0</v>
      </c>
      <c r="S10" s="26"/>
    </row>
    <row r="11" spans="1:19" ht="18.75">
      <c r="A11" s="41" t="s">
        <v>49</v>
      </c>
      <c r="B11" s="41">
        <v>1030223101</v>
      </c>
      <c r="C11" s="60">
        <v>4335.1000000000004</v>
      </c>
      <c r="D11" s="61"/>
      <c r="E11" s="61">
        <f t="shared" si="6"/>
        <v>4335.1000000000004</v>
      </c>
      <c r="F11" s="61"/>
      <c r="G11" s="61">
        <v>605.6</v>
      </c>
      <c r="H11" s="61">
        <f>G11+M11</f>
        <v>1264.9000000000001</v>
      </c>
      <c r="I11" s="62">
        <f t="shared" si="4"/>
        <v>0.29178104311319231</v>
      </c>
      <c r="J11" s="62">
        <f t="shared" si="5"/>
        <v>0</v>
      </c>
      <c r="K11" s="61">
        <v>1087.5</v>
      </c>
      <c r="L11" s="62">
        <f t="shared" si="1"/>
        <v>1.1631264367816092</v>
      </c>
      <c r="M11" s="61">
        <v>659.3</v>
      </c>
      <c r="N11" s="61">
        <v>702.7</v>
      </c>
      <c r="O11" s="62">
        <f t="shared" si="2"/>
        <v>0.93823822399316903</v>
      </c>
      <c r="P11" s="61"/>
      <c r="Q11" s="61"/>
      <c r="R11" s="61"/>
      <c r="S11" s="26"/>
    </row>
    <row r="12" spans="1:19" ht="18.75">
      <c r="A12" s="41" t="s">
        <v>50</v>
      </c>
      <c r="B12" s="41">
        <v>1030224101</v>
      </c>
      <c r="C12" s="60">
        <v>30.1</v>
      </c>
      <c r="D12" s="61"/>
      <c r="E12" s="61">
        <f t="shared" si="6"/>
        <v>30.1</v>
      </c>
      <c r="F12" s="61"/>
      <c r="G12" s="61">
        <v>2.2000000000000002</v>
      </c>
      <c r="H12" s="61">
        <f>G12+M12</f>
        <v>5.2</v>
      </c>
      <c r="I12" s="62">
        <f t="shared" si="4"/>
        <v>0.17275747508305647</v>
      </c>
      <c r="J12" s="62">
        <f t="shared" si="5"/>
        <v>0</v>
      </c>
      <c r="K12" s="61">
        <v>6.9</v>
      </c>
      <c r="L12" s="62">
        <f t="shared" si="1"/>
        <v>0.75362318840579712</v>
      </c>
      <c r="M12" s="61">
        <v>3</v>
      </c>
      <c r="N12" s="61">
        <v>4.3</v>
      </c>
      <c r="O12" s="62">
        <f t="shared" si="2"/>
        <v>0.69767441860465118</v>
      </c>
      <c r="P12" s="61"/>
      <c r="Q12" s="61"/>
      <c r="R12" s="61"/>
      <c r="S12" s="26"/>
    </row>
    <row r="13" spans="1:19" ht="18.75" customHeight="1">
      <c r="A13" s="41" t="s">
        <v>51</v>
      </c>
      <c r="B13" s="41">
        <v>1030225101</v>
      </c>
      <c r="C13" s="60">
        <v>5359.1</v>
      </c>
      <c r="D13" s="61"/>
      <c r="E13" s="61">
        <f t="shared" si="6"/>
        <v>5359.1</v>
      </c>
      <c r="F13" s="61"/>
      <c r="G13" s="61">
        <v>616.9</v>
      </c>
      <c r="H13" s="61">
        <f>G13+M13</f>
        <v>1352.5</v>
      </c>
      <c r="I13" s="62">
        <f t="shared" si="4"/>
        <v>0.25237446586180512</v>
      </c>
      <c r="J13" s="62">
        <f t="shared" si="5"/>
        <v>0</v>
      </c>
      <c r="K13" s="61">
        <v>1315.8</v>
      </c>
      <c r="L13" s="62">
        <f t="shared" si="1"/>
        <v>1.0278917768657851</v>
      </c>
      <c r="M13" s="61">
        <v>735.6</v>
      </c>
      <c r="N13" s="61">
        <v>841.3</v>
      </c>
      <c r="O13" s="62">
        <f t="shared" si="2"/>
        <v>0.87436110780934273</v>
      </c>
      <c r="P13" s="61"/>
      <c r="Q13" s="61"/>
      <c r="R13" s="61"/>
      <c r="S13" s="26"/>
    </row>
    <row r="14" spans="1:19" ht="18.75" customHeight="1">
      <c r="A14" s="41" t="s">
        <v>52</v>
      </c>
      <c r="B14" s="41">
        <v>1030226101</v>
      </c>
      <c r="C14" s="60">
        <v>-571.70000000000005</v>
      </c>
      <c r="D14" s="61"/>
      <c r="E14" s="61">
        <f t="shared" si="6"/>
        <v>-571.70000000000005</v>
      </c>
      <c r="F14" s="61"/>
      <c r="G14" s="61">
        <v>-61.2</v>
      </c>
      <c r="H14" s="61">
        <f>G14+M14</f>
        <v>-162.10000000000002</v>
      </c>
      <c r="I14" s="62">
        <f>H14/E14</f>
        <v>0.28354031834878435</v>
      </c>
      <c r="J14" s="62">
        <f t="shared" si="5"/>
        <v>0</v>
      </c>
      <c r="K14" s="61">
        <v>-145.9</v>
      </c>
      <c r="L14" s="62">
        <f t="shared" si="1"/>
        <v>0</v>
      </c>
      <c r="M14" s="61">
        <v>-100.9</v>
      </c>
      <c r="N14" s="61">
        <v>-106.3</v>
      </c>
      <c r="O14" s="62">
        <f t="shared" si="2"/>
        <v>0</v>
      </c>
      <c r="P14" s="61"/>
      <c r="Q14" s="61"/>
      <c r="R14" s="61"/>
      <c r="S14" s="26"/>
    </row>
    <row r="15" spans="1:19" ht="18.75">
      <c r="A15" s="37" t="s">
        <v>55</v>
      </c>
      <c r="B15" s="38">
        <v>1050000000</v>
      </c>
      <c r="C15" s="58">
        <f t="shared" ref="C15:H15" si="9">SUM(C16:C20)</f>
        <v>46975</v>
      </c>
      <c r="D15" s="58">
        <f t="shared" si="9"/>
        <v>0</v>
      </c>
      <c r="E15" s="58">
        <f t="shared" si="9"/>
        <v>46975</v>
      </c>
      <c r="F15" s="58">
        <f t="shared" si="9"/>
        <v>11352.9</v>
      </c>
      <c r="G15" s="58">
        <f>G16+G17+G18+G19+G20</f>
        <v>1400.7000000000003</v>
      </c>
      <c r="H15" s="58">
        <f t="shared" si="9"/>
        <v>9809.6999999999989</v>
      </c>
      <c r="I15" s="59">
        <f t="shared" si="4"/>
        <v>0.20882810005321978</v>
      </c>
      <c r="J15" s="59">
        <f t="shared" si="5"/>
        <v>0.86406997331078395</v>
      </c>
      <c r="K15" s="58">
        <f>K16+K17+K18+K19+K20</f>
        <v>10224.1</v>
      </c>
      <c r="L15" s="59">
        <f t="shared" si="1"/>
        <v>0.95946831505951613</v>
      </c>
      <c r="M15" s="58">
        <f>M16+M17+M18+M19+M20</f>
        <v>8408.9999999999982</v>
      </c>
      <c r="N15" s="58">
        <f>N16+N17+N18+N19+N20</f>
        <v>5710.9999999999991</v>
      </c>
      <c r="O15" s="59">
        <f t="shared" si="2"/>
        <v>1.4724216424444054</v>
      </c>
      <c r="P15" s="58">
        <f>SUM(P16:P20)</f>
        <v>191.29999999999998</v>
      </c>
      <c r="Q15" s="58">
        <f>SUM(Q16:Q20)</f>
        <v>960.1</v>
      </c>
      <c r="R15" s="58">
        <f>SUM(R16:R20)</f>
        <v>0</v>
      </c>
      <c r="S15" s="26"/>
    </row>
    <row r="16" spans="1:19" ht="18.75">
      <c r="A16" s="40" t="s">
        <v>53</v>
      </c>
      <c r="B16" s="8">
        <v>1050101001</v>
      </c>
      <c r="C16" s="60">
        <v>37320</v>
      </c>
      <c r="D16" s="61"/>
      <c r="E16" s="61">
        <f t="shared" si="6"/>
        <v>37320</v>
      </c>
      <c r="F16" s="61">
        <f>1100+1131+3100+350+1370</f>
        <v>7051</v>
      </c>
      <c r="G16" s="61">
        <v>1221.9000000000001</v>
      </c>
      <c r="H16" s="61">
        <f t="shared" ref="H16:H23" si="10">G16+M16</f>
        <v>6798</v>
      </c>
      <c r="I16" s="62">
        <f t="shared" si="4"/>
        <v>0.18215434083601287</v>
      </c>
      <c r="J16" s="62">
        <f t="shared" si="5"/>
        <v>0.96411856474258972</v>
      </c>
      <c r="K16" s="61">
        <v>7686.5</v>
      </c>
      <c r="L16" s="62">
        <f t="shared" si="1"/>
        <v>0.88440772783451505</v>
      </c>
      <c r="M16" s="61">
        <v>5576.1</v>
      </c>
      <c r="N16" s="61">
        <v>3516.4</v>
      </c>
      <c r="O16" s="62">
        <f t="shared" si="2"/>
        <v>1.5857410988510978</v>
      </c>
      <c r="P16" s="61">
        <v>129.69999999999999</v>
      </c>
      <c r="Q16" s="61">
        <v>845.5</v>
      </c>
      <c r="R16" s="61"/>
      <c r="S16" s="26"/>
    </row>
    <row r="17" spans="1:21" ht="18.75">
      <c r="A17" s="40" t="s">
        <v>54</v>
      </c>
      <c r="B17" s="8">
        <v>1050102001</v>
      </c>
      <c r="C17" s="60">
        <v>8000</v>
      </c>
      <c r="D17" s="61"/>
      <c r="E17" s="61">
        <f t="shared" si="6"/>
        <v>8000</v>
      </c>
      <c r="F17" s="61">
        <f>100+159+500+350+400</f>
        <v>1509</v>
      </c>
      <c r="G17" s="61">
        <v>296.89999999999998</v>
      </c>
      <c r="H17" s="61">
        <f t="shared" si="10"/>
        <v>3119.1</v>
      </c>
      <c r="I17" s="62">
        <f t="shared" si="4"/>
        <v>0.3898875</v>
      </c>
      <c r="J17" s="62">
        <f t="shared" si="5"/>
        <v>2.0669980119284292</v>
      </c>
      <c r="K17" s="61">
        <v>1683</v>
      </c>
      <c r="L17" s="62">
        <f t="shared" si="1"/>
        <v>1.8532976827094474</v>
      </c>
      <c r="M17" s="61">
        <v>2822.2</v>
      </c>
      <c r="N17" s="61">
        <v>1449.5</v>
      </c>
      <c r="O17" s="62">
        <f t="shared" si="2"/>
        <v>1.9470162124870645</v>
      </c>
      <c r="P17" s="61">
        <v>61.6</v>
      </c>
      <c r="Q17" s="61">
        <v>112.1</v>
      </c>
      <c r="R17" s="61"/>
      <c r="S17" s="26"/>
      <c r="U17" s="164"/>
    </row>
    <row r="18" spans="1:21" ht="18.75">
      <c r="A18" s="40" t="s">
        <v>0</v>
      </c>
      <c r="B18" s="8">
        <v>1050200002</v>
      </c>
      <c r="C18" s="60"/>
      <c r="D18" s="61"/>
      <c r="E18" s="61">
        <f t="shared" si="6"/>
        <v>0</v>
      </c>
      <c r="F18" s="61">
        <f>1000+126+65+1480-30</f>
        <v>2641</v>
      </c>
      <c r="G18" s="61">
        <v>-4</v>
      </c>
      <c r="H18" s="61">
        <f t="shared" si="10"/>
        <v>-4</v>
      </c>
      <c r="I18" s="62">
        <f t="shared" si="4"/>
        <v>0</v>
      </c>
      <c r="J18" s="62">
        <f t="shared" si="5"/>
        <v>-1.5145778114350624E-3</v>
      </c>
      <c r="K18" s="61">
        <v>-6.5</v>
      </c>
      <c r="L18" s="62">
        <f t="shared" si="1"/>
        <v>0</v>
      </c>
      <c r="M18" s="61"/>
      <c r="N18" s="61">
        <v>-0.1</v>
      </c>
      <c r="O18" s="62">
        <f t="shared" si="2"/>
        <v>0</v>
      </c>
      <c r="P18" s="61"/>
      <c r="Q18" s="61">
        <v>2.5</v>
      </c>
      <c r="R18" s="61"/>
      <c r="S18" s="26"/>
      <c r="T18" s="156"/>
    </row>
    <row r="19" spans="1:21" ht="18.75">
      <c r="A19" s="40" t="s">
        <v>7</v>
      </c>
      <c r="B19" s="8">
        <v>1050300001</v>
      </c>
      <c r="C19" s="60">
        <v>505</v>
      </c>
      <c r="D19" s="61"/>
      <c r="E19" s="61">
        <f t="shared" si="6"/>
        <v>505</v>
      </c>
      <c r="F19" s="61">
        <f>5.4+5.6+52</f>
        <v>63</v>
      </c>
      <c r="G19" s="61"/>
      <c r="H19" s="61">
        <f t="shared" si="10"/>
        <v>17.8</v>
      </c>
      <c r="I19" s="62">
        <f t="shared" si="4"/>
        <v>3.5247524752475251E-2</v>
      </c>
      <c r="J19" s="62">
        <f t="shared" si="5"/>
        <v>0.28253968253968254</v>
      </c>
      <c r="K19" s="61">
        <v>299.60000000000002</v>
      </c>
      <c r="L19" s="62">
        <f t="shared" si="1"/>
        <v>5.9412550066755672E-2</v>
      </c>
      <c r="M19" s="61">
        <v>17.8</v>
      </c>
      <c r="N19" s="61">
        <v>298</v>
      </c>
      <c r="O19" s="62">
        <f t="shared" si="2"/>
        <v>5.9731543624161075E-2</v>
      </c>
      <c r="P19" s="61"/>
      <c r="Q19" s="61"/>
      <c r="R19" s="61"/>
      <c r="S19" s="26"/>
    </row>
    <row r="20" spans="1:21" ht="18.75">
      <c r="A20" s="40" t="s">
        <v>96</v>
      </c>
      <c r="B20" s="8">
        <v>1050402002</v>
      </c>
      <c r="C20" s="60">
        <v>1150</v>
      </c>
      <c r="D20" s="61"/>
      <c r="E20" s="61">
        <f t="shared" si="6"/>
        <v>1150</v>
      </c>
      <c r="F20" s="61">
        <f>50+15+2.9+21</f>
        <v>88.9</v>
      </c>
      <c r="G20" s="61">
        <v>-114.1</v>
      </c>
      <c r="H20" s="61">
        <f t="shared" si="10"/>
        <v>-121.19999999999999</v>
      </c>
      <c r="I20" s="62">
        <f t="shared" si="4"/>
        <v>-0.10539130434782608</v>
      </c>
      <c r="J20" s="62">
        <f t="shared" si="5"/>
        <v>-1.3633295838020245</v>
      </c>
      <c r="K20" s="61">
        <v>561.5</v>
      </c>
      <c r="L20" s="62">
        <f t="shared" si="1"/>
        <v>-0.21585040071237754</v>
      </c>
      <c r="M20" s="61">
        <v>-7.1</v>
      </c>
      <c r="N20" s="61">
        <v>447.2</v>
      </c>
      <c r="O20" s="62">
        <f t="shared" si="2"/>
        <v>-1.5876565295169946E-2</v>
      </c>
      <c r="P20" s="61"/>
      <c r="Q20" s="61"/>
      <c r="R20" s="61"/>
      <c r="S20" s="26"/>
    </row>
    <row r="21" spans="1:21" ht="16.5" customHeight="1">
      <c r="A21" s="37" t="s">
        <v>57</v>
      </c>
      <c r="B21" s="38">
        <v>1060201002</v>
      </c>
      <c r="C21" s="58">
        <v>7055</v>
      </c>
      <c r="D21" s="63"/>
      <c r="E21" s="63">
        <f t="shared" si="6"/>
        <v>7055</v>
      </c>
      <c r="F21" s="63">
        <f>300+93+770+670+150</f>
        <v>1983</v>
      </c>
      <c r="G21" s="63">
        <v>305.5</v>
      </c>
      <c r="H21" s="63">
        <f t="shared" si="10"/>
        <v>1942.2</v>
      </c>
      <c r="I21" s="59">
        <f t="shared" si="4"/>
        <v>0.27529411764705886</v>
      </c>
      <c r="J21" s="59">
        <f t="shared" si="5"/>
        <v>0.97942511346444783</v>
      </c>
      <c r="K21" s="63">
        <v>1682.7</v>
      </c>
      <c r="L21" s="59">
        <f t="shared" si="1"/>
        <v>1.1542164378677127</v>
      </c>
      <c r="M21" s="63">
        <v>1636.7</v>
      </c>
      <c r="N21" s="63">
        <v>172.9</v>
      </c>
      <c r="O21" s="59">
        <f t="shared" si="2"/>
        <v>9.4661654135338349</v>
      </c>
      <c r="P21" s="63"/>
      <c r="Q21" s="63">
        <v>79.3</v>
      </c>
      <c r="R21" s="63"/>
      <c r="S21" s="26"/>
    </row>
    <row r="22" spans="1:21" ht="18" customHeight="1">
      <c r="A22" s="37" t="s">
        <v>64</v>
      </c>
      <c r="B22" s="38">
        <v>1080000000</v>
      </c>
      <c r="C22" s="58">
        <v>1000</v>
      </c>
      <c r="D22" s="63"/>
      <c r="E22" s="63">
        <f t="shared" si="6"/>
        <v>1000</v>
      </c>
      <c r="F22" s="63">
        <f>75+34+90+90</f>
        <v>289</v>
      </c>
      <c r="G22" s="63">
        <v>53.2</v>
      </c>
      <c r="H22" s="63">
        <f t="shared" si="10"/>
        <v>176.9</v>
      </c>
      <c r="I22" s="59">
        <f t="shared" si="4"/>
        <v>0.1769</v>
      </c>
      <c r="J22" s="59">
        <f t="shared" si="5"/>
        <v>0.61211072664359867</v>
      </c>
      <c r="K22" s="63">
        <v>173.3</v>
      </c>
      <c r="L22" s="59">
        <f t="shared" si="1"/>
        <v>1.0207732256203115</v>
      </c>
      <c r="M22" s="63">
        <v>123.7</v>
      </c>
      <c r="N22" s="63">
        <v>66.599999999999994</v>
      </c>
      <c r="O22" s="59">
        <f t="shared" si="2"/>
        <v>1.8573573573573576</v>
      </c>
      <c r="P22" s="63"/>
      <c r="Q22" s="63"/>
      <c r="R22" s="63"/>
      <c r="S22" s="26"/>
    </row>
    <row r="23" spans="1:21" ht="2.25" hidden="1" customHeight="1">
      <c r="A23" s="37" t="s">
        <v>56</v>
      </c>
      <c r="B23" s="38">
        <v>1090000000</v>
      </c>
      <c r="C23" s="58"/>
      <c r="D23" s="63"/>
      <c r="E23" s="63">
        <f t="shared" si="6"/>
        <v>0</v>
      </c>
      <c r="F23" s="63"/>
      <c r="G23" s="63"/>
      <c r="H23" s="63">
        <f t="shared" si="10"/>
        <v>0</v>
      </c>
      <c r="I23" s="59">
        <f t="shared" si="4"/>
        <v>0</v>
      </c>
      <c r="J23" s="59">
        <f t="shared" si="5"/>
        <v>0</v>
      </c>
      <c r="K23" s="63"/>
      <c r="L23" s="59">
        <f t="shared" si="1"/>
        <v>0</v>
      </c>
      <c r="M23" s="63"/>
      <c r="N23" s="63"/>
      <c r="O23" s="59">
        <f t="shared" si="2"/>
        <v>0</v>
      </c>
      <c r="P23" s="63"/>
      <c r="Q23" s="63"/>
      <c r="R23" s="63"/>
      <c r="S23" s="26"/>
    </row>
    <row r="24" spans="1:21" ht="18.75">
      <c r="A24" s="42" t="s">
        <v>22</v>
      </c>
      <c r="B24" s="43"/>
      <c r="C24" s="56">
        <f t="shared" ref="C24:H24" si="11">C25+C32+C33+C37+C40+C41</f>
        <v>31921.3</v>
      </c>
      <c r="D24" s="56">
        <f t="shared" si="11"/>
        <v>0</v>
      </c>
      <c r="E24" s="56">
        <f t="shared" si="11"/>
        <v>31921.3</v>
      </c>
      <c r="F24" s="56">
        <f t="shared" si="11"/>
        <v>7948.7</v>
      </c>
      <c r="G24" s="135">
        <f>G25+G32+G33+G37+G40+G41</f>
        <v>2333.2000000000003</v>
      </c>
      <c r="H24" s="56">
        <f t="shared" si="11"/>
        <v>4962.3</v>
      </c>
      <c r="I24" s="57">
        <f t="shared" si="4"/>
        <v>0.15545419516122463</v>
      </c>
      <c r="J24" s="57">
        <f t="shared" si="5"/>
        <v>0.62429076452753285</v>
      </c>
      <c r="K24" s="135">
        <f>K25+K32+K33+K37+K40+K41</f>
        <v>3728.7999999999997</v>
      </c>
      <c r="L24" s="57">
        <f t="shared" si="1"/>
        <v>1.3308034756490026</v>
      </c>
      <c r="M24" s="135">
        <f>M25+M32+M33+M37+M40+M41</f>
        <v>2629.1</v>
      </c>
      <c r="N24" s="135">
        <f>N25+N32+N33+N37+N40+N41</f>
        <v>1624.9</v>
      </c>
      <c r="O24" s="57">
        <f t="shared" si="2"/>
        <v>1.6180072619853527</v>
      </c>
      <c r="P24" s="56">
        <f>P25+P32+P33+P37+P40+P41</f>
        <v>463.20000000000005</v>
      </c>
      <c r="Q24" s="56">
        <f>Q25+Q32+Q33+Q37+Q40+Q41</f>
        <v>398.5</v>
      </c>
      <c r="R24" s="56">
        <f>R25+R32+R33+R37+R40+R41</f>
        <v>592.5</v>
      </c>
      <c r="S24" s="26"/>
    </row>
    <row r="25" spans="1:21" ht="18.75">
      <c r="A25" s="44" t="s">
        <v>61</v>
      </c>
      <c r="B25" s="38">
        <v>1110000000</v>
      </c>
      <c r="C25" s="58">
        <f t="shared" ref="C25:H25" si="12">SUM(C26:C31)</f>
        <v>2440</v>
      </c>
      <c r="D25" s="58">
        <f t="shared" si="12"/>
        <v>0</v>
      </c>
      <c r="E25" s="58">
        <f t="shared" si="12"/>
        <v>2440</v>
      </c>
      <c r="F25" s="58">
        <f t="shared" si="12"/>
        <v>2087.3000000000002</v>
      </c>
      <c r="G25" s="136">
        <f>SUM(G26:G31)</f>
        <v>292.00000000000006</v>
      </c>
      <c r="H25" s="58">
        <f t="shared" si="12"/>
        <v>598.6</v>
      </c>
      <c r="I25" s="59">
        <f t="shared" si="4"/>
        <v>0.24532786885245902</v>
      </c>
      <c r="J25" s="59">
        <f t="shared" si="5"/>
        <v>0.28678196713457577</v>
      </c>
      <c r="K25" s="136">
        <f>SUM(K26:K31)</f>
        <v>687.3</v>
      </c>
      <c r="L25" s="59">
        <f t="shared" si="1"/>
        <v>0.8709442746980941</v>
      </c>
      <c r="M25" s="136">
        <f>SUM(M26:M31)</f>
        <v>306.59999999999997</v>
      </c>
      <c r="N25" s="136">
        <f>SUM(N26:N31)</f>
        <v>359</v>
      </c>
      <c r="O25" s="59">
        <f t="shared" si="2"/>
        <v>0.85403899721448462</v>
      </c>
      <c r="P25" s="58">
        <f>SUM(P26:P31)</f>
        <v>463.20000000000005</v>
      </c>
      <c r="Q25" s="58">
        <f>SUM(Q26:Q31)</f>
        <v>398.5</v>
      </c>
      <c r="R25" s="58">
        <f>SUM(R26:R31)</f>
        <v>592.5</v>
      </c>
      <c r="S25" s="26"/>
    </row>
    <row r="26" spans="1:21" ht="18.75" hidden="1">
      <c r="A26" s="8" t="s">
        <v>20</v>
      </c>
      <c r="B26" s="8">
        <v>1110105005</v>
      </c>
      <c r="C26" s="60"/>
      <c r="D26" s="61"/>
      <c r="E26" s="61">
        <f t="shared" ref="E26:E32" si="13">C26+D26</f>
        <v>0</v>
      </c>
      <c r="F26" s="61"/>
      <c r="G26" s="137"/>
      <c r="H26" s="61">
        <f t="shared" ref="H26:H32" si="14">G26+M26</f>
        <v>0</v>
      </c>
      <c r="I26" s="62">
        <f t="shared" si="4"/>
        <v>0</v>
      </c>
      <c r="J26" s="62">
        <f t="shared" si="5"/>
        <v>0</v>
      </c>
      <c r="K26" s="137"/>
      <c r="L26" s="62">
        <f t="shared" si="1"/>
        <v>0</v>
      </c>
      <c r="M26" s="137"/>
      <c r="N26" s="137"/>
      <c r="O26" s="62">
        <f t="shared" si="2"/>
        <v>0</v>
      </c>
      <c r="P26" s="61"/>
      <c r="Q26" s="61"/>
      <c r="R26" s="61"/>
      <c r="S26" s="26"/>
    </row>
    <row r="27" spans="1:21" ht="18.75">
      <c r="A27" s="8" t="s">
        <v>58</v>
      </c>
      <c r="B27" s="8">
        <v>1110501300</v>
      </c>
      <c r="C27" s="60">
        <v>1590</v>
      </c>
      <c r="D27" s="61"/>
      <c r="E27" s="61">
        <f t="shared" si="13"/>
        <v>1590</v>
      </c>
      <c r="F27" s="61">
        <f>60+420+420</f>
        <v>900</v>
      </c>
      <c r="G27" s="137">
        <v>131.9</v>
      </c>
      <c r="H27" s="182">
        <f t="shared" si="14"/>
        <v>327.39999999999998</v>
      </c>
      <c r="I27" s="62">
        <f t="shared" si="4"/>
        <v>0.20591194968553458</v>
      </c>
      <c r="J27" s="62">
        <f t="shared" si="5"/>
        <v>0.36377777777777776</v>
      </c>
      <c r="K27" s="137">
        <v>513.9</v>
      </c>
      <c r="L27" s="62">
        <f t="shared" si="1"/>
        <v>0.63708892780696635</v>
      </c>
      <c r="M27" s="137">
        <v>195.5</v>
      </c>
      <c r="N27" s="137">
        <v>328</v>
      </c>
      <c r="O27" s="62">
        <f t="shared" si="2"/>
        <v>0.59603658536585369</v>
      </c>
      <c r="P27" s="182">
        <f>235.9+166.8</f>
        <v>402.70000000000005</v>
      </c>
      <c r="Q27" s="61">
        <f>167.6+117.9</f>
        <v>285.5</v>
      </c>
      <c r="R27" s="61">
        <f>174.8+288.7</f>
        <v>463.5</v>
      </c>
      <c r="S27" s="26"/>
    </row>
    <row r="28" spans="1:21" ht="18.75">
      <c r="A28" s="8" t="s">
        <v>59</v>
      </c>
      <c r="B28" s="8">
        <v>1110502505</v>
      </c>
      <c r="C28" s="60"/>
      <c r="D28" s="61"/>
      <c r="E28" s="61">
        <f t="shared" si="13"/>
        <v>0</v>
      </c>
      <c r="F28" s="61"/>
      <c r="G28" s="137"/>
      <c r="H28" s="61">
        <f t="shared" si="14"/>
        <v>0</v>
      </c>
      <c r="I28" s="62">
        <f t="shared" si="4"/>
        <v>0</v>
      </c>
      <c r="J28" s="62">
        <f t="shared" si="5"/>
        <v>0</v>
      </c>
      <c r="K28" s="137">
        <v>-0.2</v>
      </c>
      <c r="L28" s="62">
        <f t="shared" si="1"/>
        <v>0</v>
      </c>
      <c r="M28" s="137"/>
      <c r="N28" s="137">
        <v>-1.4</v>
      </c>
      <c r="O28" s="62">
        <f t="shared" si="2"/>
        <v>0</v>
      </c>
      <c r="P28" s="61"/>
      <c r="Q28" s="61"/>
      <c r="R28" s="61"/>
      <c r="S28" s="26"/>
    </row>
    <row r="29" spans="1:21" ht="18.75">
      <c r="A29" s="178" t="s">
        <v>60</v>
      </c>
      <c r="B29" s="8">
        <v>1110503505</v>
      </c>
      <c r="C29" s="60">
        <v>590</v>
      </c>
      <c r="D29" s="61"/>
      <c r="E29" s="61">
        <f t="shared" si="13"/>
        <v>590</v>
      </c>
      <c r="F29" s="61">
        <f>250+140+365+165.3+267</f>
        <v>1187.3</v>
      </c>
      <c r="G29" s="137">
        <v>153.80000000000001</v>
      </c>
      <c r="H29" s="61">
        <f t="shared" si="14"/>
        <v>228.20000000000002</v>
      </c>
      <c r="I29" s="62">
        <f t="shared" si="4"/>
        <v>0.38677966101694916</v>
      </c>
      <c r="J29" s="62">
        <f t="shared" si="5"/>
        <v>0.1922007917122884</v>
      </c>
      <c r="K29" s="137">
        <v>110.5</v>
      </c>
      <c r="L29" s="62">
        <f t="shared" si="1"/>
        <v>2.0651583710407242</v>
      </c>
      <c r="M29" s="137">
        <v>74.400000000000006</v>
      </c>
      <c r="N29" s="137">
        <v>26.7</v>
      </c>
      <c r="O29" s="62">
        <f t="shared" si="2"/>
        <v>2.7865168539325844</v>
      </c>
      <c r="P29" s="182">
        <v>60.5</v>
      </c>
      <c r="Q29" s="61">
        <v>113</v>
      </c>
      <c r="R29" s="61">
        <v>129</v>
      </c>
      <c r="S29" s="26"/>
    </row>
    <row r="30" spans="1:21" ht="18.75">
      <c r="A30" s="8" t="s">
        <v>112</v>
      </c>
      <c r="B30" s="177">
        <v>1110507505</v>
      </c>
      <c r="C30" s="60">
        <v>260</v>
      </c>
      <c r="D30" s="61"/>
      <c r="E30" s="61">
        <f t="shared" si="13"/>
        <v>260</v>
      </c>
      <c r="F30" s="61"/>
      <c r="G30" s="137"/>
      <c r="H30" s="61">
        <f t="shared" si="14"/>
        <v>24.3</v>
      </c>
      <c r="I30" s="62">
        <f t="shared" si="4"/>
        <v>9.3461538461538471E-2</v>
      </c>
      <c r="J30" s="62"/>
      <c r="K30" s="137">
        <v>60.7</v>
      </c>
      <c r="L30" s="62">
        <f t="shared" si="1"/>
        <v>0.40032948929159801</v>
      </c>
      <c r="M30" s="137">
        <v>24.3</v>
      </c>
      <c r="N30" s="137">
        <v>3.4</v>
      </c>
      <c r="O30" s="62">
        <f t="shared" si="2"/>
        <v>7.1470588235294121</v>
      </c>
      <c r="P30" s="61"/>
      <c r="Q30" s="61"/>
      <c r="R30" s="61"/>
      <c r="S30" s="26"/>
    </row>
    <row r="31" spans="1:21" ht="18.75">
      <c r="A31" s="8" t="s">
        <v>23</v>
      </c>
      <c r="B31" s="8">
        <v>1110904505</v>
      </c>
      <c r="C31" s="60"/>
      <c r="D31" s="61"/>
      <c r="E31" s="61">
        <f t="shared" si="13"/>
        <v>0</v>
      </c>
      <c r="F31" s="61"/>
      <c r="G31" s="137">
        <v>6.3</v>
      </c>
      <c r="H31" s="61">
        <f t="shared" si="14"/>
        <v>18.7</v>
      </c>
      <c r="I31" s="62">
        <f t="shared" si="4"/>
        <v>0</v>
      </c>
      <c r="J31" s="62">
        <f t="shared" si="5"/>
        <v>0</v>
      </c>
      <c r="K31" s="137">
        <v>2.4</v>
      </c>
      <c r="L31" s="62">
        <f t="shared" si="1"/>
        <v>7.791666666666667</v>
      </c>
      <c r="M31" s="137">
        <v>12.4</v>
      </c>
      <c r="N31" s="137">
        <v>2.2999999999999998</v>
      </c>
      <c r="O31" s="62">
        <f t="shared" si="2"/>
        <v>5.3913043478260878</v>
      </c>
      <c r="P31" s="61"/>
      <c r="Q31" s="61"/>
      <c r="R31" s="61"/>
      <c r="S31" s="26"/>
    </row>
    <row r="32" spans="1:21" ht="18.75">
      <c r="A32" s="44" t="s">
        <v>65</v>
      </c>
      <c r="B32" s="38">
        <v>1120100000</v>
      </c>
      <c r="C32" s="58">
        <v>21.3</v>
      </c>
      <c r="D32" s="63"/>
      <c r="E32" s="63">
        <f t="shared" si="13"/>
        <v>21.3</v>
      </c>
      <c r="F32" s="63">
        <f>30+30+15</f>
        <v>75</v>
      </c>
      <c r="G32" s="138">
        <v>58.3</v>
      </c>
      <c r="H32" s="63">
        <f t="shared" si="14"/>
        <v>730.4</v>
      </c>
      <c r="I32" s="59">
        <f t="shared" si="4"/>
        <v>34.291079812206569</v>
      </c>
      <c r="J32" s="59">
        <f t="shared" si="5"/>
        <v>9.738666666666667</v>
      </c>
      <c r="K32" s="138">
        <v>35.799999999999997</v>
      </c>
      <c r="L32" s="59">
        <f t="shared" si="1"/>
        <v>20.402234636871508</v>
      </c>
      <c r="M32" s="138">
        <v>672.1</v>
      </c>
      <c r="N32" s="138">
        <v>1.8</v>
      </c>
      <c r="O32" s="59">
        <f t="shared" si="2"/>
        <v>373.38888888888891</v>
      </c>
      <c r="P32" s="63"/>
      <c r="Q32" s="63"/>
      <c r="R32" s="63"/>
      <c r="S32" s="26"/>
    </row>
    <row r="33" spans="1:20" ht="18.75">
      <c r="A33" s="44" t="s">
        <v>66</v>
      </c>
      <c r="B33" s="38">
        <v>1130000000</v>
      </c>
      <c r="C33" s="58">
        <f t="shared" ref="C33:H33" si="15">SUM(C34:C36)</f>
        <v>8485</v>
      </c>
      <c r="D33" s="58">
        <f t="shared" si="15"/>
        <v>0</v>
      </c>
      <c r="E33" s="58">
        <f t="shared" si="15"/>
        <v>8485</v>
      </c>
      <c r="F33" s="58">
        <f t="shared" si="15"/>
        <v>5703.4</v>
      </c>
      <c r="G33" s="136">
        <f>SUM(G34:G36)</f>
        <v>1755.3</v>
      </c>
      <c r="H33" s="58">
        <f t="shared" si="15"/>
        <v>2638</v>
      </c>
      <c r="I33" s="59">
        <f t="shared" si="4"/>
        <v>0.31090159104301707</v>
      </c>
      <c r="J33" s="59">
        <f t="shared" si="5"/>
        <v>0.46253112178700428</v>
      </c>
      <c r="K33" s="136">
        <f>SUM(K34:K36)</f>
        <v>1776.6</v>
      </c>
      <c r="L33" s="59">
        <f t="shared" si="1"/>
        <v>1.4848587189012721</v>
      </c>
      <c r="M33" s="136">
        <f>SUM(M34:M36)</f>
        <v>882.69999999999993</v>
      </c>
      <c r="N33" s="136">
        <f>SUM(N34:N36)</f>
        <v>743.4</v>
      </c>
      <c r="O33" s="59">
        <f t="shared" si="2"/>
        <v>1.1873822975517889</v>
      </c>
      <c r="P33" s="58">
        <f>SUM(P34:P36)</f>
        <v>0</v>
      </c>
      <c r="Q33" s="58">
        <f>SUM(Q34:Q36)</f>
        <v>0</v>
      </c>
      <c r="R33" s="58">
        <f>SUM(R34:R36)</f>
        <v>0</v>
      </c>
      <c r="S33" s="26"/>
    </row>
    <row r="34" spans="1:20" ht="18.75">
      <c r="A34" s="45" t="s">
        <v>34</v>
      </c>
      <c r="B34" s="45">
        <v>1130199505</v>
      </c>
      <c r="C34" s="60">
        <v>8095</v>
      </c>
      <c r="D34" s="61"/>
      <c r="E34" s="61">
        <f>C34+D34</f>
        <v>8095</v>
      </c>
      <c r="F34" s="61">
        <f>1963.4+1945+1295</f>
        <v>5203.3999999999996</v>
      </c>
      <c r="G34" s="137">
        <v>1004.2</v>
      </c>
      <c r="H34" s="61">
        <f>G34+M34</f>
        <v>1734.5</v>
      </c>
      <c r="I34" s="62">
        <f t="shared" si="4"/>
        <v>0.21426806670784435</v>
      </c>
      <c r="J34" s="62">
        <f t="shared" si="5"/>
        <v>0.3333397394011608</v>
      </c>
      <c r="K34" s="137">
        <v>1660.9</v>
      </c>
      <c r="L34" s="62">
        <f t="shared" si="1"/>
        <v>1.0443133241013907</v>
      </c>
      <c r="M34" s="137">
        <v>730.3</v>
      </c>
      <c r="N34" s="137">
        <v>685.3</v>
      </c>
      <c r="O34" s="62">
        <f t="shared" si="2"/>
        <v>1.0656646724062455</v>
      </c>
      <c r="P34" s="61"/>
      <c r="Q34" s="61"/>
      <c r="R34" s="61"/>
      <c r="S34" s="26"/>
    </row>
    <row r="35" spans="1:20" ht="18.75">
      <c r="A35" s="45" t="s">
        <v>35</v>
      </c>
      <c r="B35" s="45">
        <v>1130206505</v>
      </c>
      <c r="C35" s="60">
        <v>390</v>
      </c>
      <c r="D35" s="61"/>
      <c r="E35" s="61">
        <f>C35+D35</f>
        <v>390</v>
      </c>
      <c r="F35" s="61">
        <f>240+165+95</f>
        <v>500</v>
      </c>
      <c r="G35" s="137">
        <v>18.8</v>
      </c>
      <c r="H35" s="61">
        <f>G35+M35</f>
        <v>67.099999999999994</v>
      </c>
      <c r="I35" s="62">
        <f t="shared" si="4"/>
        <v>0.17205128205128203</v>
      </c>
      <c r="J35" s="62">
        <f t="shared" si="5"/>
        <v>0.13419999999999999</v>
      </c>
      <c r="K35" s="137">
        <v>84.1</v>
      </c>
      <c r="L35" s="62">
        <f t="shared" si="1"/>
        <v>0.79785969084423303</v>
      </c>
      <c r="M35" s="137">
        <v>48.3</v>
      </c>
      <c r="N35" s="137">
        <v>26.5</v>
      </c>
      <c r="O35" s="62">
        <f t="shared" si="2"/>
        <v>1.8226415094339621</v>
      </c>
      <c r="P35" s="61"/>
      <c r="Q35" s="61"/>
      <c r="R35" s="61"/>
      <c r="S35" s="26"/>
    </row>
    <row r="36" spans="1:20" ht="18.75">
      <c r="A36" s="45" t="s">
        <v>62</v>
      </c>
      <c r="B36" s="45">
        <v>1130299505</v>
      </c>
      <c r="C36" s="60"/>
      <c r="D36" s="61"/>
      <c r="E36" s="61">
        <f>C36+D36</f>
        <v>0</v>
      </c>
      <c r="F36" s="61"/>
      <c r="G36" s="137">
        <v>732.3</v>
      </c>
      <c r="H36" s="61">
        <f>G36+M36</f>
        <v>836.4</v>
      </c>
      <c r="I36" s="62">
        <f t="shared" si="4"/>
        <v>0</v>
      </c>
      <c r="J36" s="62">
        <f t="shared" si="5"/>
        <v>0</v>
      </c>
      <c r="K36" s="137">
        <v>31.6</v>
      </c>
      <c r="L36" s="62">
        <f t="shared" si="1"/>
        <v>26.468354430379744</v>
      </c>
      <c r="M36" s="137">
        <v>104.1</v>
      </c>
      <c r="N36" s="137">
        <v>31.6</v>
      </c>
      <c r="O36" s="62">
        <f t="shared" si="2"/>
        <v>3.2943037974683542</v>
      </c>
      <c r="P36" s="61"/>
      <c r="Q36" s="61"/>
      <c r="R36" s="61"/>
      <c r="S36" s="26"/>
    </row>
    <row r="37" spans="1:20" ht="18.75">
      <c r="A37" s="44" t="s">
        <v>67</v>
      </c>
      <c r="B37" s="38">
        <v>1140000000</v>
      </c>
      <c r="C37" s="58">
        <f t="shared" ref="C37:H37" si="16">SUM(C38:C39)</f>
        <v>19780</v>
      </c>
      <c r="D37" s="58">
        <f t="shared" si="16"/>
        <v>0</v>
      </c>
      <c r="E37" s="58">
        <f t="shared" si="16"/>
        <v>19780</v>
      </c>
      <c r="F37" s="58">
        <f t="shared" si="16"/>
        <v>0</v>
      </c>
      <c r="G37" s="136">
        <f>G38+G39</f>
        <v>0</v>
      </c>
      <c r="H37" s="58">
        <f t="shared" si="16"/>
        <v>0.8</v>
      </c>
      <c r="I37" s="59">
        <f t="shared" si="4"/>
        <v>4.0444893832153693E-5</v>
      </c>
      <c r="J37" s="59">
        <f t="shared" si="5"/>
        <v>0</v>
      </c>
      <c r="K37" s="136">
        <f>K38+K39</f>
        <v>28.5</v>
      </c>
      <c r="L37" s="59">
        <f t="shared" si="1"/>
        <v>2.8070175438596492E-2</v>
      </c>
      <c r="M37" s="136">
        <f>M38+M39</f>
        <v>0.8</v>
      </c>
      <c r="N37" s="136">
        <f>N38+N39</f>
        <v>0</v>
      </c>
      <c r="O37" s="59">
        <f>IF(N37&gt;0,M37/N37,0)</f>
        <v>0</v>
      </c>
      <c r="P37" s="58">
        <f>SUM(P38:P39)</f>
        <v>0</v>
      </c>
      <c r="Q37" s="58">
        <f>SUM(Q38:Q39)</f>
        <v>0</v>
      </c>
      <c r="R37" s="58">
        <f>SUM(R38:R39)</f>
        <v>0</v>
      </c>
      <c r="S37" s="26"/>
    </row>
    <row r="38" spans="1:20" ht="18.75">
      <c r="A38" s="8" t="s">
        <v>31</v>
      </c>
      <c r="B38" s="8">
        <v>1140205305</v>
      </c>
      <c r="C38" s="60">
        <v>19755</v>
      </c>
      <c r="D38" s="61"/>
      <c r="E38" s="61">
        <f>C38+D38</f>
        <v>19755</v>
      </c>
      <c r="F38" s="61"/>
      <c r="G38" s="137"/>
      <c r="H38" s="61">
        <f>G38+M38</f>
        <v>0</v>
      </c>
      <c r="I38" s="62">
        <f t="shared" si="4"/>
        <v>0</v>
      </c>
      <c r="J38" s="62">
        <f t="shared" si="5"/>
        <v>0</v>
      </c>
      <c r="K38" s="137">
        <v>72.5</v>
      </c>
      <c r="L38" s="62">
        <f t="shared" si="1"/>
        <v>0</v>
      </c>
      <c r="M38" s="137"/>
      <c r="N38" s="137">
        <v>43.5</v>
      </c>
      <c r="O38" s="62">
        <f>IF(N38&gt;0,M38/N38,0)</f>
        <v>0</v>
      </c>
      <c r="P38" s="61"/>
      <c r="Q38" s="61"/>
      <c r="R38" s="61"/>
      <c r="S38" s="26"/>
    </row>
    <row r="39" spans="1:20" ht="18.75">
      <c r="A39" s="8" t="s">
        <v>32</v>
      </c>
      <c r="B39" s="8">
        <v>1140600000</v>
      </c>
      <c r="C39" s="60">
        <v>25</v>
      </c>
      <c r="D39" s="61"/>
      <c r="E39" s="61">
        <f>C39+D39</f>
        <v>25</v>
      </c>
      <c r="F39" s="61"/>
      <c r="G39" s="137"/>
      <c r="H39" s="61">
        <f>G39+M39</f>
        <v>0.8</v>
      </c>
      <c r="I39" s="62">
        <f t="shared" si="4"/>
        <v>3.2000000000000001E-2</v>
      </c>
      <c r="J39" s="62">
        <f t="shared" si="5"/>
        <v>0</v>
      </c>
      <c r="K39" s="137">
        <v>-44</v>
      </c>
      <c r="L39" s="62">
        <f t="shared" si="1"/>
        <v>0</v>
      </c>
      <c r="M39" s="137">
        <v>0.8</v>
      </c>
      <c r="N39" s="137">
        <v>-43.5</v>
      </c>
      <c r="O39" s="62">
        <f t="shared" si="2"/>
        <v>0</v>
      </c>
      <c r="P39" s="61"/>
      <c r="Q39" s="61"/>
      <c r="R39" s="61"/>
      <c r="S39" s="26"/>
    </row>
    <row r="40" spans="1:20" ht="18.75">
      <c r="A40" s="44" t="s">
        <v>68</v>
      </c>
      <c r="B40" s="38">
        <v>1160000000</v>
      </c>
      <c r="C40" s="58">
        <v>322.10000000000002</v>
      </c>
      <c r="D40" s="63"/>
      <c r="E40" s="63">
        <f>C40+D40</f>
        <v>322.10000000000002</v>
      </c>
      <c r="F40" s="63">
        <f>38+45</f>
        <v>83</v>
      </c>
      <c r="G40" s="138">
        <v>228.3</v>
      </c>
      <c r="H40" s="63">
        <f>G40+M40</f>
        <v>715.2</v>
      </c>
      <c r="I40" s="59">
        <f t="shared" si="4"/>
        <v>2.220428438373176</v>
      </c>
      <c r="J40" s="59">
        <f t="shared" si="5"/>
        <v>8.6168674698795193</v>
      </c>
      <c r="K40" s="138">
        <v>476.1</v>
      </c>
      <c r="L40" s="59">
        <f t="shared" si="1"/>
        <v>1.5022054190296157</v>
      </c>
      <c r="M40" s="138">
        <v>486.9</v>
      </c>
      <c r="N40" s="138">
        <v>128.69999999999999</v>
      </c>
      <c r="O40" s="59">
        <f t="shared" si="2"/>
        <v>3.7832167832167833</v>
      </c>
      <c r="P40" s="63"/>
      <c r="Q40" s="63"/>
      <c r="R40" s="63"/>
      <c r="S40" s="26"/>
    </row>
    <row r="41" spans="1:20" ht="18.75">
      <c r="A41" s="44" t="s">
        <v>69</v>
      </c>
      <c r="B41" s="38">
        <v>1170000000</v>
      </c>
      <c r="C41" s="58">
        <f t="shared" ref="C41:H41" si="17">SUM(C42:C44)</f>
        <v>872.9</v>
      </c>
      <c r="D41" s="58">
        <f t="shared" si="17"/>
        <v>0</v>
      </c>
      <c r="E41" s="58">
        <f t="shared" si="17"/>
        <v>872.9</v>
      </c>
      <c r="F41" s="58">
        <f t="shared" si="17"/>
        <v>0</v>
      </c>
      <c r="G41" s="58">
        <f>SUM(G42:G44)</f>
        <v>-0.7</v>
      </c>
      <c r="H41" s="58">
        <f t="shared" si="17"/>
        <v>279.3</v>
      </c>
      <c r="I41" s="59">
        <f t="shared" si="4"/>
        <v>0.31996792301523658</v>
      </c>
      <c r="J41" s="59">
        <f t="shared" si="5"/>
        <v>0</v>
      </c>
      <c r="K41" s="58">
        <f>SUM(K42:K44)</f>
        <v>724.5</v>
      </c>
      <c r="L41" s="59">
        <f t="shared" si="1"/>
        <v>0.38550724637681161</v>
      </c>
      <c r="M41" s="58">
        <f>SUM(M42:M44)</f>
        <v>280</v>
      </c>
      <c r="N41" s="58">
        <f>SUM(N42:N44)</f>
        <v>392</v>
      </c>
      <c r="O41" s="59">
        <f t="shared" si="2"/>
        <v>0.7142857142857143</v>
      </c>
      <c r="P41" s="58">
        <f>SUM(P42:P43)</f>
        <v>0</v>
      </c>
      <c r="Q41" s="58">
        <f>SUM(Q42:Q43)</f>
        <v>0</v>
      </c>
      <c r="R41" s="58">
        <f>SUM(R42:R43)</f>
        <v>0</v>
      </c>
      <c r="S41" s="26"/>
    </row>
    <row r="42" spans="1:20" ht="18.75">
      <c r="A42" s="8" t="s">
        <v>8</v>
      </c>
      <c r="B42" s="8">
        <v>1170105005</v>
      </c>
      <c r="C42" s="60"/>
      <c r="D42" s="61"/>
      <c r="E42" s="61">
        <f>C42+D42</f>
        <v>0</v>
      </c>
      <c r="F42" s="61"/>
      <c r="G42" s="137">
        <v>-0.7</v>
      </c>
      <c r="H42" s="61">
        <f>G42+M42</f>
        <v>-0.7</v>
      </c>
      <c r="I42" s="62">
        <f t="shared" si="4"/>
        <v>0</v>
      </c>
      <c r="J42" s="62">
        <f t="shared" si="5"/>
        <v>0</v>
      </c>
      <c r="K42" s="137">
        <v>46.6</v>
      </c>
      <c r="L42" s="62">
        <f t="shared" si="1"/>
        <v>-1.5021459227467809E-2</v>
      </c>
      <c r="M42" s="137"/>
      <c r="N42" s="137">
        <v>24.1</v>
      </c>
      <c r="O42" s="62">
        <f t="shared" si="2"/>
        <v>0</v>
      </c>
      <c r="P42" s="61"/>
      <c r="Q42" s="61"/>
      <c r="R42" s="61"/>
      <c r="S42" s="26"/>
    </row>
    <row r="43" spans="1:20" ht="18.75">
      <c r="A43" s="8" t="s">
        <v>14</v>
      </c>
      <c r="B43" s="8">
        <v>1170505005</v>
      </c>
      <c r="C43" s="60"/>
      <c r="D43" s="61"/>
      <c r="E43" s="61">
        <f>C43+D43</f>
        <v>0</v>
      </c>
      <c r="F43" s="61"/>
      <c r="G43" s="137"/>
      <c r="H43" s="61">
        <f>G43+M43</f>
        <v>0</v>
      </c>
      <c r="I43" s="62">
        <f t="shared" si="4"/>
        <v>0</v>
      </c>
      <c r="J43" s="62">
        <f t="shared" si="5"/>
        <v>0</v>
      </c>
      <c r="K43" s="137">
        <v>0.1</v>
      </c>
      <c r="L43" s="62">
        <f t="shared" si="1"/>
        <v>0</v>
      </c>
      <c r="M43" s="137"/>
      <c r="N43" s="137">
        <v>0.1</v>
      </c>
      <c r="O43" s="62">
        <f t="shared" si="2"/>
        <v>0</v>
      </c>
      <c r="P43" s="61"/>
      <c r="Q43" s="61"/>
      <c r="R43" s="61"/>
      <c r="S43" s="26"/>
    </row>
    <row r="44" spans="1:20" ht="18.75">
      <c r="A44" s="45" t="s">
        <v>115</v>
      </c>
      <c r="B44" s="179">
        <v>1171503005</v>
      </c>
      <c r="C44" s="60">
        <v>872.9</v>
      </c>
      <c r="D44" s="61"/>
      <c r="E44" s="61">
        <f>C44+D44</f>
        <v>872.9</v>
      </c>
      <c r="F44" s="61"/>
      <c r="G44" s="137"/>
      <c r="H44" s="61">
        <f>G44+M44</f>
        <v>280</v>
      </c>
      <c r="I44" s="62">
        <f t="shared" si="4"/>
        <v>0.32076984763432237</v>
      </c>
      <c r="J44" s="62"/>
      <c r="K44" s="137">
        <v>677.8</v>
      </c>
      <c r="L44" s="62">
        <f t="shared" si="1"/>
        <v>0.41310120979640014</v>
      </c>
      <c r="M44" s="137">
        <v>280</v>
      </c>
      <c r="N44" s="137">
        <v>367.8</v>
      </c>
      <c r="O44" s="62">
        <f t="shared" si="2"/>
        <v>0.76128330614464379</v>
      </c>
      <c r="P44" s="61"/>
      <c r="Q44" s="61"/>
      <c r="R44" s="61"/>
      <c r="S44" s="26"/>
    </row>
    <row r="45" spans="1:20" ht="18.75" customHeight="1">
      <c r="A45" s="43" t="s">
        <v>89</v>
      </c>
      <c r="B45" s="43">
        <v>1000000000</v>
      </c>
      <c r="C45" s="56">
        <f t="shared" ref="C45:H45" si="18">C4+C24</f>
        <v>114482.7</v>
      </c>
      <c r="D45" s="56">
        <f t="shared" si="18"/>
        <v>0</v>
      </c>
      <c r="E45" s="56">
        <f t="shared" si="18"/>
        <v>114482.7</v>
      </c>
      <c r="F45" s="56">
        <f t="shared" si="18"/>
        <v>36236.400000000001</v>
      </c>
      <c r="G45" s="56">
        <f>G4+G24</f>
        <v>6167.9000000000005</v>
      </c>
      <c r="H45" s="121">
        <f t="shared" si="18"/>
        <v>22577.7</v>
      </c>
      <c r="I45" s="57">
        <f t="shared" si="4"/>
        <v>0.19721495038114931</v>
      </c>
      <c r="J45" s="57">
        <f t="shared" si="5"/>
        <v>0.62306686094645158</v>
      </c>
      <c r="K45" s="56">
        <f>K4+K24</f>
        <v>21683.899999999998</v>
      </c>
      <c r="L45" s="57">
        <f t="shared" si="1"/>
        <v>1.0412195223184022</v>
      </c>
      <c r="M45" s="56">
        <f>M4+M24</f>
        <v>16409.8</v>
      </c>
      <c r="N45" s="56">
        <f>N4+N24</f>
        <v>10150.599999999999</v>
      </c>
      <c r="O45" s="57">
        <f t="shared" si="2"/>
        <v>1.6166334994975669</v>
      </c>
      <c r="P45" s="56">
        <f>P4+P24</f>
        <v>967.7</v>
      </c>
      <c r="Q45" s="56">
        <f>Q4+Q24</f>
        <v>1991.4999999999998</v>
      </c>
      <c r="R45" s="56">
        <f>R4+R24</f>
        <v>592.5</v>
      </c>
      <c r="S45" s="159"/>
      <c r="T45" s="158"/>
    </row>
    <row r="46" spans="1:20" ht="18.75" customHeight="1">
      <c r="A46" s="43" t="s">
        <v>91</v>
      </c>
      <c r="B46" s="43"/>
      <c r="C46" s="56">
        <f>C45-C10-8000</f>
        <v>97330.099999999991</v>
      </c>
      <c r="D46" s="56">
        <f>D45-D10</f>
        <v>0</v>
      </c>
      <c r="E46" s="56">
        <f>C46+D46</f>
        <v>97330.099999999991</v>
      </c>
      <c r="F46" s="56">
        <f>F45-F10-1728.4-1750</f>
        <v>27993</v>
      </c>
      <c r="G46" s="56">
        <f>G45-G10-989.5</f>
        <v>4014.9000000000005</v>
      </c>
      <c r="H46" s="121">
        <f t="shared" ref="H46:H51" si="19">G46+M46</f>
        <v>18410.400000000001</v>
      </c>
      <c r="I46" s="57">
        <f>IF(E46&gt;0,H46/E46,0)</f>
        <v>0.18915422875348945</v>
      </c>
      <c r="J46" s="57">
        <f>IF(F46&gt;0,H46/F46,0)</f>
        <v>0.65767870539063344</v>
      </c>
      <c r="K46" s="56">
        <f>K45-K10</f>
        <v>19419.599999999999</v>
      </c>
      <c r="L46" s="57">
        <f t="shared" si="1"/>
        <v>0.94803188531174709</v>
      </c>
      <c r="M46" s="56">
        <f>M45-M10-717.3</f>
        <v>14395.5</v>
      </c>
      <c r="N46" s="56">
        <f>N45-N10</f>
        <v>8708.5999999999985</v>
      </c>
      <c r="O46" s="57">
        <f t="shared" si="2"/>
        <v>1.6530211515054087</v>
      </c>
      <c r="P46" s="56"/>
      <c r="Q46" s="56"/>
      <c r="R46" s="56"/>
      <c r="S46" s="167"/>
    </row>
    <row r="47" spans="1:20" ht="18.75">
      <c r="A47" s="8" t="s">
        <v>36</v>
      </c>
      <c r="B47" s="8">
        <v>2000000000</v>
      </c>
      <c r="C47" s="60">
        <v>238380.67</v>
      </c>
      <c r="D47" s="130">
        <f>25897.4</f>
        <v>25897.4</v>
      </c>
      <c r="E47" s="130">
        <f>C47+D47</f>
        <v>264278.07</v>
      </c>
      <c r="F47" s="61">
        <f>34850.65+571.1+470.1+38803.34</f>
        <v>74695.19</v>
      </c>
      <c r="G47" s="61">
        <v>37855.699999999997</v>
      </c>
      <c r="H47" s="61">
        <f t="shared" si="19"/>
        <v>57817.1</v>
      </c>
      <c r="I47" s="62">
        <f t="shared" si="4"/>
        <v>0.21877373328782065</v>
      </c>
      <c r="J47" s="62">
        <f t="shared" si="5"/>
        <v>0.77404047034353884</v>
      </c>
      <c r="K47" s="61">
        <v>63266.5</v>
      </c>
      <c r="L47" s="62">
        <f t="shared" si="1"/>
        <v>0.91386594801356169</v>
      </c>
      <c r="M47" s="61">
        <v>19961.400000000001</v>
      </c>
      <c r="N47" s="61">
        <v>36489.4</v>
      </c>
      <c r="O47" s="62">
        <f t="shared" si="2"/>
        <v>0.54704653954299054</v>
      </c>
      <c r="P47" s="61"/>
      <c r="Q47" s="61"/>
      <c r="R47" s="61"/>
      <c r="S47" s="162"/>
    </row>
    <row r="48" spans="1:20" ht="18.75">
      <c r="A48" s="8" t="s">
        <v>113</v>
      </c>
      <c r="B48" s="46" t="s">
        <v>102</v>
      </c>
      <c r="C48" s="60"/>
      <c r="D48" s="61"/>
      <c r="E48" s="61">
        <f>C48+D48</f>
        <v>0</v>
      </c>
      <c r="F48" s="61"/>
      <c r="G48" s="61"/>
      <c r="H48" s="61">
        <f t="shared" si="19"/>
        <v>0</v>
      </c>
      <c r="I48" s="62">
        <f t="shared" si="4"/>
        <v>0</v>
      </c>
      <c r="J48" s="62">
        <f t="shared" si="5"/>
        <v>0</v>
      </c>
      <c r="K48" s="61"/>
      <c r="L48" s="62">
        <f t="shared" si="1"/>
        <v>0</v>
      </c>
      <c r="M48" s="61"/>
      <c r="N48" s="61"/>
      <c r="O48" s="62">
        <f t="shared" si="2"/>
        <v>0</v>
      </c>
      <c r="P48" s="61"/>
      <c r="Q48" s="61"/>
      <c r="R48" s="61"/>
    </row>
    <row r="49" spans="1:19" ht="18.75">
      <c r="A49" s="8" t="s">
        <v>46</v>
      </c>
      <c r="B49" s="46" t="s">
        <v>37</v>
      </c>
      <c r="C49" s="60"/>
      <c r="D49" s="61"/>
      <c r="E49" s="61">
        <f>C49+D49</f>
        <v>0</v>
      </c>
      <c r="F49" s="61"/>
      <c r="G49" s="61">
        <v>8.5</v>
      </c>
      <c r="H49" s="61">
        <f t="shared" si="19"/>
        <v>13.5</v>
      </c>
      <c r="I49" s="62">
        <f t="shared" si="4"/>
        <v>0</v>
      </c>
      <c r="J49" s="62"/>
      <c r="K49" s="61">
        <v>5.0999999999999996</v>
      </c>
      <c r="L49" s="62">
        <f t="shared" si="1"/>
        <v>2.6470588235294121</v>
      </c>
      <c r="M49" s="61">
        <v>5</v>
      </c>
      <c r="N49" s="61">
        <v>3.1</v>
      </c>
      <c r="O49" s="62"/>
      <c r="P49" s="61"/>
      <c r="Q49" s="61"/>
      <c r="R49" s="61"/>
    </row>
    <row r="50" spans="1:19" ht="18.75">
      <c r="A50" s="8" t="s">
        <v>117</v>
      </c>
      <c r="B50" s="46" t="s">
        <v>116</v>
      </c>
      <c r="C50" s="60"/>
      <c r="D50" s="61"/>
      <c r="E50" s="61"/>
      <c r="F50" s="61"/>
      <c r="G50" s="61"/>
      <c r="H50" s="61">
        <f t="shared" si="19"/>
        <v>0</v>
      </c>
      <c r="I50" s="62"/>
      <c r="J50" s="62"/>
      <c r="K50" s="61"/>
      <c r="L50" s="62"/>
      <c r="M50" s="61"/>
      <c r="N50" s="61"/>
      <c r="O50" s="62"/>
      <c r="P50" s="61"/>
      <c r="Q50" s="61"/>
      <c r="R50" s="61"/>
    </row>
    <row r="51" spans="1:19" ht="18.75">
      <c r="A51" s="8" t="s">
        <v>93</v>
      </c>
      <c r="B51" s="46" t="s">
        <v>109</v>
      </c>
      <c r="C51" s="60"/>
      <c r="D51" s="130"/>
      <c r="E51" s="130">
        <f>C51+D51</f>
        <v>0</v>
      </c>
      <c r="F51" s="61"/>
      <c r="G51" s="61"/>
      <c r="H51" s="61">
        <f t="shared" si="19"/>
        <v>0</v>
      </c>
      <c r="I51" s="62">
        <f t="shared" si="4"/>
        <v>0</v>
      </c>
      <c r="J51" s="62"/>
      <c r="K51" s="61">
        <v>-22.1</v>
      </c>
      <c r="L51" s="62">
        <f t="shared" si="1"/>
        <v>0</v>
      </c>
      <c r="M51" s="61"/>
      <c r="N51" s="61"/>
      <c r="O51" s="62">
        <f t="shared" si="2"/>
        <v>0</v>
      </c>
      <c r="P51" s="61"/>
      <c r="Q51" s="61"/>
      <c r="R51" s="61"/>
    </row>
    <row r="52" spans="1:19" ht="18.75">
      <c r="A52" s="43" t="s">
        <v>2</v>
      </c>
      <c r="B52" s="43">
        <v>0</v>
      </c>
      <c r="C52" s="163">
        <f>C45+C47+C48+C49+C51</f>
        <v>352863.37</v>
      </c>
      <c r="D52" s="163">
        <f>D45+D47+D48+D49+D51</f>
        <v>25897.4</v>
      </c>
      <c r="E52" s="163">
        <f>E45+E47+E48+E49+E51</f>
        <v>378760.77</v>
      </c>
      <c r="F52" s="121">
        <f>F45+F47+F48</f>
        <v>110931.59</v>
      </c>
      <c r="G52" s="121">
        <f>G45+G47+G48+G49+G51+G50</f>
        <v>44032.1</v>
      </c>
      <c r="H52" s="121">
        <f>H45+H47+H48+H51+H49</f>
        <v>80408.3</v>
      </c>
      <c r="I52" s="57">
        <f t="shared" si="4"/>
        <v>0.21229310522312012</v>
      </c>
      <c r="J52" s="57">
        <f t="shared" si="5"/>
        <v>0.72484582615285698</v>
      </c>
      <c r="K52" s="121">
        <f>K45+K47+K48+K51+K49</f>
        <v>84933.4</v>
      </c>
      <c r="L52" s="57">
        <f t="shared" si="1"/>
        <v>0.94672178436280674</v>
      </c>
      <c r="M52" s="121">
        <f>M45+M47+M48+M51+M49+M50</f>
        <v>36376.199999999997</v>
      </c>
      <c r="N52" s="121">
        <f>N45+N47+N48+N51+N49</f>
        <v>46643.1</v>
      </c>
      <c r="O52" s="57">
        <f t="shared" si="2"/>
        <v>0.77988384133987665</v>
      </c>
      <c r="P52" s="56">
        <f>P45+P47+P48</f>
        <v>967.7</v>
      </c>
      <c r="Q52" s="56">
        <f>Q45+Q47+Q48</f>
        <v>1991.4999999999998</v>
      </c>
      <c r="R52" s="56">
        <f>R45+R47+R48</f>
        <v>592.5</v>
      </c>
      <c r="S52" s="139"/>
    </row>
    <row r="53" spans="1:19" ht="19.5" customHeight="1">
      <c r="A53" s="3"/>
      <c r="B53" s="3"/>
      <c r="C53" s="3"/>
      <c r="S53" s="168"/>
    </row>
    <row r="54" spans="1:19" ht="20.25">
      <c r="A54" s="3"/>
      <c r="B54" s="3"/>
      <c r="C54" s="3"/>
      <c r="E54" s="139"/>
      <c r="G54" s="131"/>
      <c r="H54" s="139"/>
    </row>
    <row r="55" spans="1:19">
      <c r="A55" s="3"/>
      <c r="B55" s="3"/>
      <c r="C55" s="3"/>
    </row>
    <row r="56" spans="1:19">
      <c r="A56" s="3"/>
      <c r="B56" s="3"/>
      <c r="C56" s="3"/>
      <c r="H56" s="139"/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J2"/>
    <mergeCell ref="P2:R2"/>
    <mergeCell ref="K2:L2"/>
    <mergeCell ref="M2:M3"/>
    <mergeCell ref="N2:N3"/>
    <mergeCell ref="O2:O3"/>
  </mergeCells>
  <phoneticPr fontId="0" type="noConversion"/>
  <printOptions horizontalCentered="1"/>
  <pageMargins left="0.39370078740157483" right="0.19685039370078741" top="0.22" bottom="0.19" header="0.51181102362204722" footer="0.51181102362204722"/>
  <pageSetup paperSize="9" scale="55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zoomScaleNormal="100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Q7" sqref="Q7:Q22"/>
    </sheetView>
  </sheetViews>
  <sheetFormatPr defaultRowHeight="12.75"/>
  <cols>
    <col min="1" max="1" width="43.7109375" customWidth="1"/>
    <col min="2" max="2" width="14.42578125" customWidth="1"/>
    <col min="3" max="3" width="14.28515625" customWidth="1"/>
    <col min="4" max="4" width="15.7109375" customWidth="1"/>
    <col min="5" max="5" width="15.140625" customWidth="1"/>
    <col min="6" max="6" width="10.7109375" hidden="1" customWidth="1"/>
    <col min="7" max="7" width="11.7109375" customWidth="1"/>
    <col min="8" max="8" width="12.140625" customWidth="1"/>
    <col min="9" max="9" width="13.85546875" customWidth="1"/>
    <col min="10" max="10" width="0.140625" customWidth="1"/>
    <col min="11" max="11" width="11.42578125" customWidth="1"/>
    <col min="12" max="12" width="14" customWidth="1"/>
    <col min="13" max="13" width="12.28515625" customWidth="1"/>
    <col min="14" max="14" width="10.5703125" customWidth="1"/>
    <col min="15" max="15" width="13.5703125" customWidth="1"/>
    <col min="16" max="17" width="9.85546875" customWidth="1"/>
    <col min="18" max="18" width="11" customWidth="1"/>
    <col min="19" max="20" width="9.140625" hidden="1" customWidth="1"/>
    <col min="21" max="21" width="0.140625" hidden="1" customWidth="1"/>
    <col min="22" max="22" width="11.28515625" customWidth="1"/>
  </cols>
  <sheetData>
    <row r="1" spans="1:22" ht="15.75">
      <c r="A1" s="26"/>
      <c r="B1" s="48"/>
      <c r="C1" s="199" t="s">
        <v>11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50"/>
      <c r="P1" s="26"/>
      <c r="Q1" s="26"/>
      <c r="R1" s="26"/>
    </row>
    <row r="2" spans="1:22" ht="15.75">
      <c r="A2" s="26"/>
      <c r="B2" s="200" t="s">
        <v>131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22" ht="13.5" customHeight="1" thickBot="1">
      <c r="A3" s="195" t="s">
        <v>3</v>
      </c>
      <c r="B3" s="197" t="s">
        <v>4</v>
      </c>
      <c r="C3" s="193" t="s">
        <v>121</v>
      </c>
      <c r="D3" s="193" t="s">
        <v>24</v>
      </c>
      <c r="E3" s="193" t="s">
        <v>120</v>
      </c>
      <c r="F3" s="193" t="s">
        <v>99</v>
      </c>
      <c r="G3" s="193" t="s">
        <v>123</v>
      </c>
      <c r="H3" s="193" t="s">
        <v>119</v>
      </c>
      <c r="I3" s="193"/>
      <c r="J3" s="193"/>
      <c r="K3" s="193" t="s">
        <v>114</v>
      </c>
      <c r="L3" s="193"/>
      <c r="M3" s="193" t="s">
        <v>126</v>
      </c>
      <c r="N3" s="193" t="s">
        <v>127</v>
      </c>
      <c r="O3" s="193" t="s">
        <v>30</v>
      </c>
      <c r="P3" s="193" t="s">
        <v>9</v>
      </c>
      <c r="Q3" s="193"/>
      <c r="R3" s="193"/>
    </row>
    <row r="4" spans="1:22" ht="111" customHeight="1" thickBot="1">
      <c r="A4" s="196"/>
      <c r="B4" s="198"/>
      <c r="C4" s="193"/>
      <c r="D4" s="193"/>
      <c r="E4" s="193"/>
      <c r="F4" s="193"/>
      <c r="G4" s="193"/>
      <c r="H4" s="188" t="s">
        <v>125</v>
      </c>
      <c r="I4" s="188" t="s">
        <v>10</v>
      </c>
      <c r="J4" s="188" t="s">
        <v>29</v>
      </c>
      <c r="K4" s="188" t="s">
        <v>125</v>
      </c>
      <c r="L4" s="188" t="s">
        <v>30</v>
      </c>
      <c r="M4" s="193"/>
      <c r="N4" s="193"/>
      <c r="O4" s="193"/>
      <c r="P4" s="122" t="s">
        <v>118</v>
      </c>
      <c r="Q4" s="122" t="s">
        <v>124</v>
      </c>
      <c r="R4" s="122" t="s">
        <v>137</v>
      </c>
      <c r="S4" s="1"/>
      <c r="T4" s="1"/>
      <c r="U4" s="2"/>
    </row>
    <row r="5" spans="1:22" ht="21.75" customHeight="1">
      <c r="A5" s="51" t="s">
        <v>21</v>
      </c>
      <c r="B5" s="52"/>
      <c r="C5" s="89">
        <f t="shared" ref="C5:H5" si="0">C6+C16+C18+C23+C11</f>
        <v>10604.699999999999</v>
      </c>
      <c r="D5" s="89">
        <f t="shared" si="0"/>
        <v>368.577</v>
      </c>
      <c r="E5" s="89">
        <f t="shared" si="0"/>
        <v>10973.277</v>
      </c>
      <c r="F5" s="89">
        <f t="shared" si="0"/>
        <v>0</v>
      </c>
      <c r="G5" s="89">
        <f t="shared" si="0"/>
        <v>455.20000000000005</v>
      </c>
      <c r="H5" s="161">
        <f t="shared" si="0"/>
        <v>1544.6000000000004</v>
      </c>
      <c r="I5" s="90">
        <f>IF(E5&gt;0,H5/E5,0)</f>
        <v>0.14076013938224655</v>
      </c>
      <c r="J5" s="90">
        <f>IF(F5&gt;0,H5/F5,0)</f>
        <v>0</v>
      </c>
      <c r="K5" s="89">
        <f>K6+K16+K18+K23+K11</f>
        <v>2138</v>
      </c>
      <c r="L5" s="90">
        <f t="shared" ref="L5:L49" si="1">IF(K5&gt;0,H5/K5,0)</f>
        <v>0.72245088868101048</v>
      </c>
      <c r="M5" s="89">
        <f>M6+M16+M18+M23+M11</f>
        <v>1089.3999999999999</v>
      </c>
      <c r="N5" s="89">
        <f>N6+N16+N18+N23+N11</f>
        <v>1006.6</v>
      </c>
      <c r="O5" s="90">
        <f t="shared" ref="O5:O22" si="2">IF(N5&gt;0,M5/N5,0)</f>
        <v>1.0822571031194117</v>
      </c>
      <c r="P5" s="89">
        <f>P6+P16+P18+P23+P11</f>
        <v>442.6</v>
      </c>
      <c r="Q5" s="89">
        <f>Q6+Q16+Q18+Q23+Q11</f>
        <v>462.4</v>
      </c>
      <c r="R5" s="89">
        <f>R6+R16+R18+R23+R11</f>
        <v>0</v>
      </c>
      <c r="S5" s="4"/>
      <c r="T5" s="4"/>
      <c r="U5" s="4"/>
    </row>
    <row r="6" spans="1:22" ht="18" customHeight="1">
      <c r="A6" s="9" t="s">
        <v>63</v>
      </c>
      <c r="B6" s="53">
        <v>1010200001</v>
      </c>
      <c r="C6" s="72">
        <f t="shared" ref="C6:F6" si="3">C7+C8+C9</f>
        <v>6471.8</v>
      </c>
      <c r="D6" s="72">
        <f t="shared" si="3"/>
        <v>0</v>
      </c>
      <c r="E6" s="72">
        <f t="shared" si="3"/>
        <v>6471.8</v>
      </c>
      <c r="F6" s="72">
        <f t="shared" si="3"/>
        <v>0</v>
      </c>
      <c r="G6" s="73">
        <f>G7+G8+G9+G10</f>
        <v>320.60000000000002</v>
      </c>
      <c r="H6" s="73">
        <f>H7+H8+H9+H10</f>
        <v>1046.3000000000002</v>
      </c>
      <c r="I6" s="87">
        <f t="shared" ref="I6:I49" si="4">IF(E6&gt;0,H6/E6,0)</f>
        <v>0.16167063259062397</v>
      </c>
      <c r="J6" s="87">
        <f>IF(F6&gt;0,H6/F6,0)</f>
        <v>0</v>
      </c>
      <c r="K6" s="72">
        <f>K7+K8+K9</f>
        <v>1233.3</v>
      </c>
      <c r="L6" s="87">
        <f t="shared" si="1"/>
        <v>0.84837428038595653</v>
      </c>
      <c r="M6" s="73">
        <f>M7+M8+M9+M10</f>
        <v>725.7</v>
      </c>
      <c r="N6" s="73">
        <f>N7+N8+N9+N10</f>
        <v>367.3</v>
      </c>
      <c r="O6" s="87">
        <f t="shared" si="2"/>
        <v>1.9757691260549959</v>
      </c>
      <c r="P6" s="72">
        <f>P7+P8+P9</f>
        <v>92.9</v>
      </c>
      <c r="Q6" s="72">
        <f>Q7+Q8+Q9</f>
        <v>129</v>
      </c>
      <c r="R6" s="72">
        <f>R7+R8+R9</f>
        <v>0</v>
      </c>
      <c r="V6" s="166"/>
    </row>
    <row r="7" spans="1:22" ht="18">
      <c r="A7" s="10" t="s">
        <v>44</v>
      </c>
      <c r="B7" s="13">
        <v>1010201001</v>
      </c>
      <c r="C7" s="71">
        <v>6396.8</v>
      </c>
      <c r="D7" s="83"/>
      <c r="E7" s="71">
        <f>C7+D7</f>
        <v>6396.8</v>
      </c>
      <c r="F7" s="71"/>
      <c r="G7" s="68">
        <v>318.60000000000002</v>
      </c>
      <c r="H7" s="68">
        <f>G7+M7</f>
        <v>1044.3000000000002</v>
      </c>
      <c r="I7" s="77">
        <f t="shared" si="4"/>
        <v>0.16325350175087547</v>
      </c>
      <c r="J7" s="77">
        <f t="shared" ref="J7:J49" si="5">IF(F7&gt;0,H7/F7,0)</f>
        <v>0</v>
      </c>
      <c r="K7" s="68">
        <v>1217.7</v>
      </c>
      <c r="L7" s="77">
        <f t="shared" si="1"/>
        <v>0.85760039418576017</v>
      </c>
      <c r="M7" s="68">
        <v>725.7</v>
      </c>
      <c r="N7" s="68">
        <v>361</v>
      </c>
      <c r="O7" s="77">
        <f t="shared" si="2"/>
        <v>2.0102493074792247</v>
      </c>
      <c r="P7" s="71">
        <v>17.399999999999999</v>
      </c>
      <c r="Q7" s="71">
        <v>49.9</v>
      </c>
      <c r="R7" s="71"/>
      <c r="V7" s="166"/>
    </row>
    <row r="8" spans="1:22" ht="18">
      <c r="A8" s="10" t="s">
        <v>43</v>
      </c>
      <c r="B8" s="13">
        <v>1010202001</v>
      </c>
      <c r="C8" s="68">
        <v>35</v>
      </c>
      <c r="D8" s="68"/>
      <c r="E8" s="71">
        <f>C8+D8</f>
        <v>35</v>
      </c>
      <c r="F8" s="71"/>
      <c r="G8" s="71"/>
      <c r="H8" s="68">
        <f>G8+M8</f>
        <v>0</v>
      </c>
      <c r="I8" s="77">
        <f t="shared" si="4"/>
        <v>0</v>
      </c>
      <c r="J8" s="77">
        <f t="shared" si="5"/>
        <v>0</v>
      </c>
      <c r="K8" s="71"/>
      <c r="L8" s="77">
        <f t="shared" si="1"/>
        <v>0</v>
      </c>
      <c r="M8" s="71"/>
      <c r="N8" s="71">
        <v>-0.5</v>
      </c>
      <c r="O8" s="77">
        <f>IF(N8&gt;0,M8/N8,0)</f>
        <v>0</v>
      </c>
      <c r="P8" s="71"/>
      <c r="Q8" s="71"/>
      <c r="R8" s="71"/>
      <c r="V8" s="166"/>
    </row>
    <row r="9" spans="1:22" ht="18">
      <c r="A9" s="10" t="s">
        <v>42</v>
      </c>
      <c r="B9" s="13">
        <v>1010203001</v>
      </c>
      <c r="C9" s="68">
        <v>40</v>
      </c>
      <c r="D9" s="71"/>
      <c r="E9" s="71">
        <f>C9+D9</f>
        <v>40</v>
      </c>
      <c r="F9" s="71"/>
      <c r="G9" s="71">
        <v>0.5</v>
      </c>
      <c r="H9" s="68">
        <f>G9+M9</f>
        <v>0.5</v>
      </c>
      <c r="I9" s="77">
        <f t="shared" si="4"/>
        <v>1.2500000000000001E-2</v>
      </c>
      <c r="J9" s="77">
        <f t="shared" si="5"/>
        <v>0</v>
      </c>
      <c r="K9" s="71">
        <v>15.6</v>
      </c>
      <c r="L9" s="77">
        <f t="shared" si="1"/>
        <v>3.2051282051282055E-2</v>
      </c>
      <c r="M9" s="71"/>
      <c r="N9" s="71">
        <v>6.8</v>
      </c>
      <c r="O9" s="77">
        <f t="shared" si="2"/>
        <v>0</v>
      </c>
      <c r="P9" s="71">
        <v>75.5</v>
      </c>
      <c r="Q9" s="71">
        <v>79.099999999999994</v>
      </c>
      <c r="R9" s="71"/>
      <c r="V9" s="166"/>
    </row>
    <row r="10" spans="1:22" ht="18">
      <c r="A10" s="40" t="s">
        <v>96</v>
      </c>
      <c r="B10" s="8">
        <v>1050402002</v>
      </c>
      <c r="C10" s="68"/>
      <c r="D10" s="71"/>
      <c r="E10" s="71"/>
      <c r="F10" s="71"/>
      <c r="G10" s="71">
        <v>1.5</v>
      </c>
      <c r="H10" s="68">
        <f>G10+M10</f>
        <v>1.5</v>
      </c>
      <c r="I10" s="77">
        <f t="shared" ref="I10" si="6">IF(E10&gt;0,H10/E10,0)</f>
        <v>0</v>
      </c>
      <c r="J10" s="77"/>
      <c r="K10" s="71"/>
      <c r="L10" s="77"/>
      <c r="M10" s="71"/>
      <c r="N10" s="71"/>
      <c r="O10" s="77"/>
      <c r="P10" s="71"/>
      <c r="Q10" s="71"/>
      <c r="R10" s="71"/>
      <c r="V10" s="166"/>
    </row>
    <row r="11" spans="1:22" ht="20.25" customHeight="1">
      <c r="A11" s="11" t="s">
        <v>48</v>
      </c>
      <c r="B11" s="19">
        <v>1030200001</v>
      </c>
      <c r="C11" s="72">
        <f t="shared" ref="C11:H11" si="7">SUM(C12:C15)</f>
        <v>1550.9</v>
      </c>
      <c r="D11" s="72">
        <f t="shared" si="7"/>
        <v>368.577</v>
      </c>
      <c r="E11" s="72">
        <f t="shared" si="7"/>
        <v>1919.4770000000001</v>
      </c>
      <c r="F11" s="72">
        <f t="shared" si="7"/>
        <v>0</v>
      </c>
      <c r="G11" s="72">
        <f>G12+G13+G14+G15</f>
        <v>197</v>
      </c>
      <c r="H11" s="72">
        <f t="shared" si="7"/>
        <v>416.6</v>
      </c>
      <c r="I11" s="87">
        <f>IF(E11&gt;0,H11/E11,0)</f>
        <v>0.21703828699171701</v>
      </c>
      <c r="J11" s="87">
        <f>IF(F11&gt;0,H11/F11,0)</f>
        <v>0</v>
      </c>
      <c r="K11" s="72">
        <f>K12+K13+K14+K15</f>
        <v>384.09999999999997</v>
      </c>
      <c r="L11" s="87">
        <f t="shared" si="1"/>
        <v>1.0846133819317887</v>
      </c>
      <c r="M11" s="72">
        <f>M12+M13+M14+M15</f>
        <v>219.59999999999997</v>
      </c>
      <c r="N11" s="72">
        <f>N12+N13+N14+N15</f>
        <v>244.60000000000002</v>
      </c>
      <c r="O11" s="87">
        <f t="shared" si="2"/>
        <v>0.8977923139820112</v>
      </c>
      <c r="P11" s="72">
        <f>SUM(P12:P15)</f>
        <v>0</v>
      </c>
      <c r="Q11" s="72">
        <f>SUM(Q12:Q15)</f>
        <v>0</v>
      </c>
      <c r="R11" s="72">
        <f>SUM(R12:R15)</f>
        <v>0</v>
      </c>
      <c r="V11" s="166"/>
    </row>
    <row r="12" spans="1:22" ht="18.75" customHeight="1">
      <c r="A12" s="12" t="s">
        <v>49</v>
      </c>
      <c r="B12" s="12">
        <v>1030223101</v>
      </c>
      <c r="C12" s="71">
        <v>734.6</v>
      </c>
      <c r="D12" s="71">
        <v>250</v>
      </c>
      <c r="E12" s="165">
        <f>C12+D12</f>
        <v>984.6</v>
      </c>
      <c r="F12" s="67"/>
      <c r="G12" s="71">
        <v>102.5</v>
      </c>
      <c r="H12" s="69">
        <f>G12+M12</f>
        <v>214.3</v>
      </c>
      <c r="I12" s="70">
        <f>IF(E12&gt;0,H12/E12,0)</f>
        <v>0.21765183830997359</v>
      </c>
      <c r="J12" s="70">
        <f>IF(F12&gt;0,H12/F12,0)</f>
        <v>0</v>
      </c>
      <c r="K12" s="71">
        <v>184.5</v>
      </c>
      <c r="L12" s="70">
        <f t="shared" si="1"/>
        <v>1.1615176151761519</v>
      </c>
      <c r="M12" s="71">
        <v>111.8</v>
      </c>
      <c r="N12" s="71">
        <v>119.2</v>
      </c>
      <c r="O12" s="70">
        <f t="shared" si="2"/>
        <v>0.93791946308724827</v>
      </c>
      <c r="P12" s="71"/>
      <c r="Q12" s="71"/>
      <c r="R12" s="71"/>
      <c r="V12" s="166"/>
    </row>
    <row r="13" spans="1:22" ht="18" customHeight="1">
      <c r="A13" s="12" t="s">
        <v>50</v>
      </c>
      <c r="B13" s="12">
        <v>1030224101</v>
      </c>
      <c r="C13" s="71">
        <v>5.0999999999999996</v>
      </c>
      <c r="D13" s="71"/>
      <c r="E13" s="165">
        <f>C13+D13</f>
        <v>5.0999999999999996</v>
      </c>
      <c r="F13" s="67"/>
      <c r="G13" s="71">
        <v>0.4</v>
      </c>
      <c r="H13" s="69">
        <f>G13+M13</f>
        <v>0.9</v>
      </c>
      <c r="I13" s="70">
        <f>IF(E13&gt;0,H13/E13,0)</f>
        <v>0.17647058823529413</v>
      </c>
      <c r="J13" s="70">
        <f>IF(F13&gt;0,H13/F13,0)</f>
        <v>0</v>
      </c>
      <c r="K13" s="71">
        <v>1.2</v>
      </c>
      <c r="L13" s="70">
        <f t="shared" si="1"/>
        <v>0.75</v>
      </c>
      <c r="M13" s="71">
        <v>0.5</v>
      </c>
      <c r="N13" s="71">
        <v>0.7</v>
      </c>
      <c r="O13" s="70">
        <f t="shared" si="2"/>
        <v>0.7142857142857143</v>
      </c>
      <c r="P13" s="71"/>
      <c r="Q13" s="71"/>
      <c r="R13" s="71"/>
      <c r="V13" s="166"/>
    </row>
    <row r="14" spans="1:22" ht="18.75" customHeight="1">
      <c r="A14" s="12" t="s">
        <v>51</v>
      </c>
      <c r="B14" s="12">
        <v>1030225101</v>
      </c>
      <c r="C14" s="71">
        <v>908.1</v>
      </c>
      <c r="D14" s="71">
        <v>118.577</v>
      </c>
      <c r="E14" s="81">
        <f>C14+D14</f>
        <v>1026.6770000000001</v>
      </c>
      <c r="F14" s="67"/>
      <c r="G14" s="71">
        <v>104.4</v>
      </c>
      <c r="H14" s="69">
        <f>G14+M14</f>
        <v>229</v>
      </c>
      <c r="I14" s="70">
        <f>IF(E14&gt;0,H14/E14,0)</f>
        <v>0.22304970307117036</v>
      </c>
      <c r="J14" s="70">
        <f>IF(F14&gt;0,H14/F14,0)</f>
        <v>0</v>
      </c>
      <c r="K14" s="71">
        <v>223.2</v>
      </c>
      <c r="L14" s="70">
        <f t="shared" si="1"/>
        <v>1.0259856630824373</v>
      </c>
      <c r="M14" s="71">
        <v>124.6</v>
      </c>
      <c r="N14" s="71">
        <v>142.69999999999999</v>
      </c>
      <c r="O14" s="70">
        <f t="shared" si="2"/>
        <v>0.87316047652417661</v>
      </c>
      <c r="P14" s="71"/>
      <c r="Q14" s="71"/>
      <c r="R14" s="71"/>
      <c r="V14" s="166"/>
    </row>
    <row r="15" spans="1:22" ht="18" customHeight="1">
      <c r="A15" s="12" t="s">
        <v>52</v>
      </c>
      <c r="B15" s="12">
        <v>1030226101</v>
      </c>
      <c r="C15" s="71">
        <v>-96.9</v>
      </c>
      <c r="D15" s="71"/>
      <c r="E15" s="165">
        <f>C15+D15</f>
        <v>-96.9</v>
      </c>
      <c r="F15" s="67"/>
      <c r="G15" s="71">
        <v>-10.3</v>
      </c>
      <c r="H15" s="69">
        <f>G15+M15</f>
        <v>-27.6</v>
      </c>
      <c r="I15" s="70">
        <f>H15/E15</f>
        <v>0.28482972136222912</v>
      </c>
      <c r="J15" s="70">
        <f>IF(F15&gt;0,H15/F15,0)</f>
        <v>0</v>
      </c>
      <c r="K15" s="71">
        <v>-24.8</v>
      </c>
      <c r="L15" s="70">
        <f t="shared" si="1"/>
        <v>0</v>
      </c>
      <c r="M15" s="71">
        <v>-17.3</v>
      </c>
      <c r="N15" s="71">
        <v>-18</v>
      </c>
      <c r="O15" s="70">
        <f t="shared" si="2"/>
        <v>0</v>
      </c>
      <c r="P15" s="71"/>
      <c r="Q15" s="71"/>
      <c r="R15" s="71"/>
      <c r="V15" s="166"/>
    </row>
    <row r="16" spans="1:22" ht="18">
      <c r="A16" s="9" t="s">
        <v>70</v>
      </c>
      <c r="B16" s="30">
        <v>1050000000</v>
      </c>
      <c r="C16" s="72">
        <f t="shared" ref="C16:H16" si="8">C17</f>
        <v>452</v>
      </c>
      <c r="D16" s="73">
        <f t="shared" si="8"/>
        <v>0</v>
      </c>
      <c r="E16" s="73">
        <f t="shared" si="8"/>
        <v>452</v>
      </c>
      <c r="F16" s="73">
        <f t="shared" si="8"/>
        <v>0</v>
      </c>
      <c r="G16" s="72">
        <f>G17</f>
        <v>0</v>
      </c>
      <c r="H16" s="73">
        <f t="shared" si="8"/>
        <v>1.9</v>
      </c>
      <c r="I16" s="66">
        <f t="shared" si="4"/>
        <v>4.2035398230088495E-3</v>
      </c>
      <c r="J16" s="66">
        <f t="shared" si="5"/>
        <v>0</v>
      </c>
      <c r="K16" s="72">
        <f>K17</f>
        <v>293</v>
      </c>
      <c r="L16" s="66">
        <f t="shared" si="1"/>
        <v>6.4846416382252558E-3</v>
      </c>
      <c r="M16" s="72">
        <f>M17</f>
        <v>1.9</v>
      </c>
      <c r="N16" s="72">
        <f>N17</f>
        <v>293</v>
      </c>
      <c r="O16" s="66">
        <f t="shared" si="2"/>
        <v>6.4846416382252558E-3</v>
      </c>
      <c r="P16" s="72">
        <f>P17</f>
        <v>0</v>
      </c>
      <c r="Q16" s="72">
        <f>Q17</f>
        <v>0</v>
      </c>
      <c r="R16" s="72">
        <f>R17</f>
        <v>0</v>
      </c>
      <c r="V16" s="166"/>
    </row>
    <row r="17" spans="1:22" ht="18">
      <c r="A17" s="13" t="s">
        <v>7</v>
      </c>
      <c r="B17" s="13">
        <v>1050300001</v>
      </c>
      <c r="C17" s="71">
        <v>452</v>
      </c>
      <c r="D17" s="83"/>
      <c r="E17" s="67">
        <f>C17+D17</f>
        <v>452</v>
      </c>
      <c r="F17" s="67"/>
      <c r="G17" s="71"/>
      <c r="H17" s="69">
        <f>G17+M17</f>
        <v>1.9</v>
      </c>
      <c r="I17" s="70">
        <f t="shared" si="4"/>
        <v>4.2035398230088495E-3</v>
      </c>
      <c r="J17" s="70">
        <f t="shared" si="5"/>
        <v>0</v>
      </c>
      <c r="K17" s="71">
        <v>293</v>
      </c>
      <c r="L17" s="70">
        <f t="shared" si="1"/>
        <v>6.4846416382252558E-3</v>
      </c>
      <c r="M17" s="71">
        <v>1.9</v>
      </c>
      <c r="N17" s="71">
        <v>293</v>
      </c>
      <c r="O17" s="70">
        <f t="shared" si="2"/>
        <v>6.4846416382252558E-3</v>
      </c>
      <c r="P17" s="71"/>
      <c r="Q17" s="71"/>
      <c r="R17" s="71"/>
      <c r="V17" s="166"/>
    </row>
    <row r="18" spans="1:22" ht="18">
      <c r="A18" s="9" t="s">
        <v>71</v>
      </c>
      <c r="B18" s="30">
        <v>1060000000</v>
      </c>
      <c r="C18" s="72">
        <f t="shared" ref="C18:H18" si="9">C19+C22</f>
        <v>2130</v>
      </c>
      <c r="D18" s="73">
        <f t="shared" si="9"/>
        <v>0</v>
      </c>
      <c r="E18" s="128">
        <f t="shared" si="9"/>
        <v>2130</v>
      </c>
      <c r="F18" s="73">
        <f t="shared" si="9"/>
        <v>0</v>
      </c>
      <c r="G18" s="73">
        <f>G19+G22</f>
        <v>-62.4</v>
      </c>
      <c r="H18" s="73">
        <f t="shared" si="9"/>
        <v>79.8</v>
      </c>
      <c r="I18" s="66">
        <f t="shared" si="4"/>
        <v>3.7464788732394366E-2</v>
      </c>
      <c r="J18" s="66">
        <f t="shared" si="5"/>
        <v>0</v>
      </c>
      <c r="K18" s="73">
        <f>K19+K22</f>
        <v>227.60000000000002</v>
      </c>
      <c r="L18" s="66">
        <f t="shared" si="1"/>
        <v>0.35061511423550085</v>
      </c>
      <c r="M18" s="73">
        <f>M19+M22</f>
        <v>142.19999999999999</v>
      </c>
      <c r="N18" s="73">
        <f>N19+N22</f>
        <v>101.7</v>
      </c>
      <c r="O18" s="66">
        <f t="shared" si="2"/>
        <v>1.3982300884955752</v>
      </c>
      <c r="P18" s="72">
        <f>P19+P22</f>
        <v>349.70000000000005</v>
      </c>
      <c r="Q18" s="72">
        <f>Q19+Q22</f>
        <v>333.4</v>
      </c>
      <c r="R18" s="72">
        <f>R19+R22</f>
        <v>0</v>
      </c>
      <c r="V18" s="166"/>
    </row>
    <row r="19" spans="1:22" ht="18">
      <c r="A19" s="13" t="s">
        <v>13</v>
      </c>
      <c r="B19" s="13">
        <v>1060600000</v>
      </c>
      <c r="C19" s="68">
        <f t="shared" ref="C19:H19" si="10">C20+C21</f>
        <v>1174</v>
      </c>
      <c r="D19" s="68">
        <f t="shared" si="10"/>
        <v>0</v>
      </c>
      <c r="E19" s="68">
        <f t="shared" si="10"/>
        <v>1174</v>
      </c>
      <c r="F19" s="68">
        <f t="shared" si="10"/>
        <v>0</v>
      </c>
      <c r="G19" s="74">
        <f>G20+G21</f>
        <v>-16.5</v>
      </c>
      <c r="H19" s="68">
        <f t="shared" si="10"/>
        <v>86.3</v>
      </c>
      <c r="I19" s="70">
        <f t="shared" si="4"/>
        <v>7.3509369676320269E-2</v>
      </c>
      <c r="J19" s="70">
        <f t="shared" si="5"/>
        <v>0</v>
      </c>
      <c r="K19" s="74">
        <f>K20+K21</f>
        <v>187.4</v>
      </c>
      <c r="L19" s="70">
        <f t="shared" si="1"/>
        <v>0.46051227321237992</v>
      </c>
      <c r="M19" s="74">
        <f>M20+M21</f>
        <v>102.8</v>
      </c>
      <c r="N19" s="74">
        <f>N20+N21</f>
        <v>96.5</v>
      </c>
      <c r="O19" s="70">
        <f t="shared" si="2"/>
        <v>1.0652849740932642</v>
      </c>
      <c r="P19" s="71">
        <f>P20+P21</f>
        <v>133.9</v>
      </c>
      <c r="Q19" s="71">
        <f>Q20+Q21</f>
        <v>117.7</v>
      </c>
      <c r="R19" s="71">
        <f>R20+R21</f>
        <v>0</v>
      </c>
      <c r="V19" s="166"/>
    </row>
    <row r="20" spans="1:22" ht="18">
      <c r="A20" s="13" t="s">
        <v>100</v>
      </c>
      <c r="B20" s="13">
        <v>1060603313</v>
      </c>
      <c r="C20" s="71">
        <v>732</v>
      </c>
      <c r="D20" s="68"/>
      <c r="E20" s="69">
        <f>C20+D20</f>
        <v>732</v>
      </c>
      <c r="F20" s="67"/>
      <c r="G20" s="71"/>
      <c r="H20" s="69">
        <f>G20+M20</f>
        <v>84.6</v>
      </c>
      <c r="I20" s="70">
        <f t="shared" si="4"/>
        <v>0.11557377049180327</v>
      </c>
      <c r="J20" s="70">
        <f t="shared" si="5"/>
        <v>0</v>
      </c>
      <c r="K20" s="71">
        <v>166.6</v>
      </c>
      <c r="L20" s="70">
        <f t="shared" si="1"/>
        <v>0.50780312124849936</v>
      </c>
      <c r="M20" s="71">
        <v>84.6</v>
      </c>
      <c r="N20" s="71">
        <v>88.2</v>
      </c>
      <c r="O20" s="70">
        <f t="shared" si="2"/>
        <v>0.95918367346938771</v>
      </c>
      <c r="P20" s="71">
        <v>0.3</v>
      </c>
      <c r="Q20" s="71">
        <v>0.3</v>
      </c>
      <c r="R20" s="71"/>
      <c r="V20" s="166"/>
    </row>
    <row r="21" spans="1:22" ht="18">
      <c r="A21" s="13" t="s">
        <v>101</v>
      </c>
      <c r="B21" s="13">
        <v>1060604313</v>
      </c>
      <c r="C21" s="71">
        <v>442</v>
      </c>
      <c r="D21" s="68"/>
      <c r="E21" s="69">
        <f>C21+D21</f>
        <v>442</v>
      </c>
      <c r="F21" s="67"/>
      <c r="G21" s="71">
        <v>-16.5</v>
      </c>
      <c r="H21" s="69">
        <f>G21+M21</f>
        <v>1.6999999999999993</v>
      </c>
      <c r="I21" s="70">
        <f t="shared" si="4"/>
        <v>3.8461538461538446E-3</v>
      </c>
      <c r="J21" s="70">
        <f t="shared" si="5"/>
        <v>0</v>
      </c>
      <c r="K21" s="71">
        <v>20.8</v>
      </c>
      <c r="L21" s="70">
        <f t="shared" si="1"/>
        <v>8.173076923076919E-2</v>
      </c>
      <c r="M21" s="71">
        <v>18.2</v>
      </c>
      <c r="N21" s="71">
        <v>8.3000000000000007</v>
      </c>
      <c r="O21" s="70">
        <f t="shared" si="2"/>
        <v>2.1927710843373491</v>
      </c>
      <c r="P21" s="71">
        <v>133.6</v>
      </c>
      <c r="Q21" s="71">
        <v>117.4</v>
      </c>
      <c r="R21" s="71"/>
      <c r="V21" s="166"/>
    </row>
    <row r="22" spans="1:22" ht="18">
      <c r="A22" s="13" t="s">
        <v>12</v>
      </c>
      <c r="B22" s="13">
        <v>1060103013</v>
      </c>
      <c r="C22" s="71">
        <v>956</v>
      </c>
      <c r="D22" s="68"/>
      <c r="E22" s="69">
        <f>C22+D22</f>
        <v>956</v>
      </c>
      <c r="F22" s="67"/>
      <c r="G22" s="71">
        <v>-45.9</v>
      </c>
      <c r="H22" s="69">
        <f>G22+M22</f>
        <v>-6.5</v>
      </c>
      <c r="I22" s="70">
        <f t="shared" si="4"/>
        <v>-6.7991631799163184E-3</v>
      </c>
      <c r="J22" s="70">
        <f t="shared" si="5"/>
        <v>0</v>
      </c>
      <c r="K22" s="71">
        <v>40.200000000000003</v>
      </c>
      <c r="L22" s="70">
        <f t="shared" si="1"/>
        <v>-0.1616915422885572</v>
      </c>
      <c r="M22" s="71">
        <v>39.4</v>
      </c>
      <c r="N22" s="71">
        <v>5.2</v>
      </c>
      <c r="O22" s="70">
        <f t="shared" si="2"/>
        <v>7.5769230769230766</v>
      </c>
      <c r="P22" s="71">
        <v>215.8</v>
      </c>
      <c r="Q22" s="71">
        <v>215.7</v>
      </c>
      <c r="R22" s="71"/>
      <c r="V22" s="166"/>
    </row>
    <row r="23" spans="1:22" ht="1.5" customHeight="1">
      <c r="A23" s="9" t="s">
        <v>73</v>
      </c>
      <c r="B23" s="30">
        <v>1090405010</v>
      </c>
      <c r="C23" s="72"/>
      <c r="D23" s="73"/>
      <c r="E23" s="65">
        <f>C23+D23</f>
        <v>0</v>
      </c>
      <c r="F23" s="65"/>
      <c r="G23" s="72"/>
      <c r="H23" s="75">
        <f>G23+M23</f>
        <v>0</v>
      </c>
      <c r="I23" s="66">
        <f t="shared" si="4"/>
        <v>0</v>
      </c>
      <c r="J23" s="66">
        <f t="shared" si="5"/>
        <v>0</v>
      </c>
      <c r="K23" s="72"/>
      <c r="L23" s="66">
        <f t="shared" si="1"/>
        <v>0</v>
      </c>
      <c r="M23" s="72"/>
      <c r="N23" s="72"/>
      <c r="O23" s="66">
        <f t="shared" ref="O23:O38" si="11">IF(N23&gt;0,M23/N23,0)</f>
        <v>0</v>
      </c>
      <c r="P23" s="72"/>
      <c r="Q23" s="72"/>
      <c r="R23" s="72"/>
      <c r="V23" s="166"/>
    </row>
    <row r="24" spans="1:22" ht="18">
      <c r="A24" s="14" t="s">
        <v>22</v>
      </c>
      <c r="B24" s="32"/>
      <c r="C24" s="76">
        <f>C25+C31+C34+C38+C39</f>
        <v>2934</v>
      </c>
      <c r="D24" s="76">
        <f>D25+D31+D34+D38+D39</f>
        <v>0</v>
      </c>
      <c r="E24" s="76">
        <f>E25+E33+E36+E39+E38+E35+E32+E37</f>
        <v>2934</v>
      </c>
      <c r="F24" s="76">
        <f>F25+F33+F36+F39+F38+F35+F32+F37</f>
        <v>0</v>
      </c>
      <c r="G24" s="76">
        <f>G25+G31+G34+G38+G39</f>
        <v>266.39999999999998</v>
      </c>
      <c r="H24" s="76">
        <f>H25+H33+H36+H39+H38+H35+H32+H37</f>
        <v>503.8</v>
      </c>
      <c r="I24" s="64">
        <f t="shared" si="4"/>
        <v>0.17171097477845945</v>
      </c>
      <c r="J24" s="64">
        <f t="shared" si="5"/>
        <v>0</v>
      </c>
      <c r="K24" s="76">
        <f>K25+K31+K34+K38+K39</f>
        <v>1295</v>
      </c>
      <c r="L24" s="64">
        <f t="shared" si="1"/>
        <v>0.38903474903474905</v>
      </c>
      <c r="M24" s="76">
        <f>M25+M31+M34+M38+M39</f>
        <v>237.4</v>
      </c>
      <c r="N24" s="76">
        <f>N25+N31+N34+N38+N39</f>
        <v>627.9</v>
      </c>
      <c r="O24" s="64">
        <f t="shared" si="11"/>
        <v>0.37808568243350854</v>
      </c>
      <c r="P24" s="86">
        <f>P25+P32+P35+P38+P37+P34</f>
        <v>235.9</v>
      </c>
      <c r="Q24" s="76">
        <f>Q25+Q32+Q35+Q38+Q37+Q34</f>
        <v>117.9</v>
      </c>
      <c r="R24" s="76">
        <f>R25+R32+R35+R38+R37+R34</f>
        <v>288.7</v>
      </c>
      <c r="V24" s="166"/>
    </row>
    <row r="25" spans="1:22" ht="18">
      <c r="A25" s="9" t="s">
        <v>74</v>
      </c>
      <c r="B25" s="30">
        <v>1110000000</v>
      </c>
      <c r="C25" s="72">
        <f t="shared" ref="C25:H25" si="12">C26+C29+C30+C27+C28</f>
        <v>2054</v>
      </c>
      <c r="D25" s="72">
        <f t="shared" si="12"/>
        <v>0</v>
      </c>
      <c r="E25" s="72">
        <f t="shared" si="12"/>
        <v>2054</v>
      </c>
      <c r="F25" s="72">
        <f t="shared" si="12"/>
        <v>0</v>
      </c>
      <c r="G25" s="72">
        <f>G26+G29+G30+G27+G28</f>
        <v>263.5</v>
      </c>
      <c r="H25" s="72">
        <f t="shared" si="12"/>
        <v>461.4</v>
      </c>
      <c r="I25" s="66">
        <f t="shared" si="4"/>
        <v>0.22463485881207398</v>
      </c>
      <c r="J25" s="66">
        <f t="shared" si="5"/>
        <v>0</v>
      </c>
      <c r="K25" s="72">
        <f>K26+K29+K30+K27+K28</f>
        <v>592.19999999999993</v>
      </c>
      <c r="L25" s="66">
        <f t="shared" si="1"/>
        <v>0.77912867274569408</v>
      </c>
      <c r="M25" s="72">
        <f>M26+M29+M30+M27+M28</f>
        <v>197.9</v>
      </c>
      <c r="N25" s="72">
        <f>N26+N29+N30+N27+N28</f>
        <v>269.5</v>
      </c>
      <c r="O25" s="66">
        <f t="shared" si="11"/>
        <v>0.73432282003710581</v>
      </c>
      <c r="P25" s="73">
        <f>P26+P28+P29</f>
        <v>235.9</v>
      </c>
      <c r="Q25" s="72">
        <f>Q26+Q28+Q29</f>
        <v>117.9</v>
      </c>
      <c r="R25" s="72">
        <f>R26+R28+R29</f>
        <v>288.7</v>
      </c>
      <c r="V25" s="166"/>
    </row>
    <row r="26" spans="1:22" ht="18.75">
      <c r="A26" s="54" t="s">
        <v>97</v>
      </c>
      <c r="B26" s="13">
        <v>1110501313</v>
      </c>
      <c r="C26" s="71">
        <v>1150</v>
      </c>
      <c r="D26" s="68"/>
      <c r="E26" s="165">
        <f t="shared" ref="E26:E35" si="13">C26+D26</f>
        <v>1150</v>
      </c>
      <c r="F26" s="67"/>
      <c r="G26" s="71">
        <v>112.8</v>
      </c>
      <c r="H26" s="69">
        <f t="shared" ref="H26:H38" si="14">G26+M26</f>
        <v>236</v>
      </c>
      <c r="I26" s="70">
        <f t="shared" si="4"/>
        <v>0.20521739130434782</v>
      </c>
      <c r="J26" s="70">
        <f t="shared" si="5"/>
        <v>0</v>
      </c>
      <c r="K26" s="71">
        <v>364.7</v>
      </c>
      <c r="L26" s="70">
        <f t="shared" si="1"/>
        <v>0.64710721140663563</v>
      </c>
      <c r="M26" s="71">
        <v>123.2</v>
      </c>
      <c r="N26" s="71">
        <v>196.7</v>
      </c>
      <c r="O26" s="70">
        <f t="shared" si="11"/>
        <v>0.62633451957295383</v>
      </c>
      <c r="P26" s="182">
        <v>235.9</v>
      </c>
      <c r="Q26" s="61">
        <v>117.9</v>
      </c>
      <c r="R26" s="61">
        <v>288.7</v>
      </c>
      <c r="V26" s="166"/>
    </row>
    <row r="27" spans="1:22" ht="18.75">
      <c r="A27" s="13" t="s">
        <v>98</v>
      </c>
      <c r="B27" s="13">
        <v>1110502513</v>
      </c>
      <c r="C27" s="71">
        <v>27</v>
      </c>
      <c r="D27" s="83"/>
      <c r="E27" s="67">
        <f t="shared" si="13"/>
        <v>27</v>
      </c>
      <c r="F27" s="67"/>
      <c r="G27" s="71"/>
      <c r="H27" s="69">
        <f>G27+M27</f>
        <v>2.9</v>
      </c>
      <c r="I27" s="70">
        <f>IF(E27&gt;0,H27/E27,0)</f>
        <v>0.10740740740740741</v>
      </c>
      <c r="J27" s="70"/>
      <c r="K27" s="71">
        <v>0.9</v>
      </c>
      <c r="L27" s="70">
        <f t="shared" si="1"/>
        <v>3.2222222222222219</v>
      </c>
      <c r="M27" s="71">
        <v>2.9</v>
      </c>
      <c r="N27" s="71">
        <v>0.9</v>
      </c>
      <c r="O27" s="70">
        <f t="shared" si="11"/>
        <v>3.2222222222222219</v>
      </c>
      <c r="P27" s="61"/>
      <c r="Q27" s="61"/>
      <c r="R27" s="61"/>
      <c r="V27" s="166"/>
    </row>
    <row r="28" spans="1:22" ht="18.75">
      <c r="A28" s="13" t="s">
        <v>110</v>
      </c>
      <c r="B28" s="13">
        <v>1110507513</v>
      </c>
      <c r="C28" s="71">
        <v>420</v>
      </c>
      <c r="D28" s="83"/>
      <c r="E28" s="67">
        <f t="shared" si="13"/>
        <v>420</v>
      </c>
      <c r="F28" s="67"/>
      <c r="G28" s="71">
        <v>64.2</v>
      </c>
      <c r="H28" s="69">
        <f>G28+M28</f>
        <v>96.300000000000011</v>
      </c>
      <c r="I28" s="70">
        <f>IF(E28&gt;0,H28/E28,0)</f>
        <v>0.22928571428571431</v>
      </c>
      <c r="J28" s="70"/>
      <c r="K28" s="71">
        <v>95.1</v>
      </c>
      <c r="L28" s="70"/>
      <c r="M28" s="71">
        <v>32.1</v>
      </c>
      <c r="N28" s="71">
        <v>31.9</v>
      </c>
      <c r="O28" s="70"/>
      <c r="P28" s="61"/>
      <c r="Q28" s="61"/>
      <c r="R28" s="61"/>
      <c r="V28" s="166"/>
    </row>
    <row r="29" spans="1:22" ht="18">
      <c r="A29" s="13" t="s">
        <v>23</v>
      </c>
      <c r="B29" s="13">
        <v>1110904513</v>
      </c>
      <c r="C29" s="71">
        <v>457</v>
      </c>
      <c r="D29" s="83"/>
      <c r="E29" s="67">
        <f t="shared" si="13"/>
        <v>457</v>
      </c>
      <c r="F29" s="67"/>
      <c r="G29" s="71">
        <v>86.5</v>
      </c>
      <c r="H29" s="69">
        <f t="shared" si="14"/>
        <v>126.2</v>
      </c>
      <c r="I29" s="70">
        <f t="shared" si="4"/>
        <v>0.27614879649890589</v>
      </c>
      <c r="J29" s="70">
        <f t="shared" si="5"/>
        <v>0</v>
      </c>
      <c r="K29" s="71">
        <v>131.5</v>
      </c>
      <c r="L29" s="70">
        <f t="shared" si="1"/>
        <v>0.95969581749049426</v>
      </c>
      <c r="M29" s="71">
        <v>39.700000000000003</v>
      </c>
      <c r="N29" s="71">
        <v>40</v>
      </c>
      <c r="O29" s="70">
        <f t="shared" si="11"/>
        <v>0.99250000000000005</v>
      </c>
      <c r="P29" s="71"/>
      <c r="Q29" s="71"/>
      <c r="R29" s="71"/>
      <c r="V29" s="166"/>
    </row>
    <row r="30" spans="1:22" ht="10.5" hidden="1" customHeight="1">
      <c r="A30" s="31" t="s">
        <v>18</v>
      </c>
      <c r="B30" s="13">
        <v>1110903513</v>
      </c>
      <c r="C30" s="71"/>
      <c r="D30" s="71"/>
      <c r="E30" s="67">
        <f t="shared" si="13"/>
        <v>0</v>
      </c>
      <c r="F30" s="67"/>
      <c r="G30" s="71"/>
      <c r="H30" s="69">
        <f t="shared" si="14"/>
        <v>0</v>
      </c>
      <c r="I30" s="70">
        <f t="shared" si="4"/>
        <v>0</v>
      </c>
      <c r="J30" s="70">
        <f t="shared" si="5"/>
        <v>0</v>
      </c>
      <c r="K30" s="71"/>
      <c r="L30" s="70">
        <f t="shared" si="1"/>
        <v>0</v>
      </c>
      <c r="M30" s="71"/>
      <c r="N30" s="71"/>
      <c r="O30" s="70">
        <f t="shared" si="11"/>
        <v>0</v>
      </c>
      <c r="P30" s="71"/>
      <c r="Q30" s="71"/>
      <c r="R30" s="71"/>
      <c r="V30" s="166"/>
    </row>
    <row r="31" spans="1:22" ht="18.75">
      <c r="A31" s="145" t="s">
        <v>66</v>
      </c>
      <c r="B31" s="147">
        <v>1130000000</v>
      </c>
      <c r="C31" s="132">
        <f>C32+C33</f>
        <v>35</v>
      </c>
      <c r="D31" s="132">
        <f>D32+D33</f>
        <v>0</v>
      </c>
      <c r="E31" s="133">
        <f>C31+D31</f>
        <v>35</v>
      </c>
      <c r="F31" s="133"/>
      <c r="G31" s="132">
        <f>G32+G33</f>
        <v>3.4</v>
      </c>
      <c r="H31" s="146">
        <f t="shared" si="14"/>
        <v>6.5</v>
      </c>
      <c r="I31" s="134">
        <f t="shared" si="4"/>
        <v>0.18571428571428572</v>
      </c>
      <c r="J31" s="134"/>
      <c r="K31" s="132">
        <f>K32+K33</f>
        <v>9.1</v>
      </c>
      <c r="L31" s="134">
        <f t="shared" si="1"/>
        <v>0.7142857142857143</v>
      </c>
      <c r="M31" s="132">
        <f>M32+M33</f>
        <v>3.1</v>
      </c>
      <c r="N31" s="132">
        <f>N32+N33</f>
        <v>2.7</v>
      </c>
      <c r="O31" s="134">
        <f t="shared" si="11"/>
        <v>1.1481481481481481</v>
      </c>
      <c r="P31" s="132">
        <f>P32+P33</f>
        <v>0</v>
      </c>
      <c r="Q31" s="132">
        <f>Q32+Q33</f>
        <v>0</v>
      </c>
      <c r="R31" s="132">
        <f>R32+R33</f>
        <v>0</v>
      </c>
      <c r="V31" s="166"/>
    </row>
    <row r="32" spans="1:22" ht="18">
      <c r="A32" s="45" t="s">
        <v>103</v>
      </c>
      <c r="B32" s="15">
        <v>1130206513</v>
      </c>
      <c r="C32" s="141">
        <v>35</v>
      </c>
      <c r="D32" s="141"/>
      <c r="E32" s="142">
        <f t="shared" si="13"/>
        <v>35</v>
      </c>
      <c r="F32" s="142"/>
      <c r="G32" s="141">
        <v>3.4</v>
      </c>
      <c r="H32" s="143">
        <f t="shared" si="14"/>
        <v>6.5</v>
      </c>
      <c r="I32" s="144">
        <f t="shared" si="4"/>
        <v>0.18571428571428572</v>
      </c>
      <c r="J32" s="144"/>
      <c r="K32" s="141">
        <v>9.1</v>
      </c>
      <c r="L32" s="144">
        <f t="shared" si="1"/>
        <v>0.7142857142857143</v>
      </c>
      <c r="M32" s="141">
        <v>3.1</v>
      </c>
      <c r="N32" s="141">
        <v>2.7</v>
      </c>
      <c r="O32" s="144">
        <f t="shared" si="11"/>
        <v>1.1481481481481481</v>
      </c>
      <c r="P32" s="141"/>
      <c r="Q32" s="141"/>
      <c r="R32" s="141"/>
      <c r="V32" s="166"/>
    </row>
    <row r="33" spans="1:22" ht="18">
      <c r="A33" s="15" t="s">
        <v>38</v>
      </c>
      <c r="B33" s="15">
        <v>1130299513</v>
      </c>
      <c r="C33" s="141"/>
      <c r="D33" s="141"/>
      <c r="E33" s="142">
        <f t="shared" si="13"/>
        <v>0</v>
      </c>
      <c r="F33" s="142"/>
      <c r="G33" s="141"/>
      <c r="H33" s="143">
        <f t="shared" si="14"/>
        <v>0</v>
      </c>
      <c r="I33" s="144">
        <f t="shared" si="4"/>
        <v>0</v>
      </c>
      <c r="J33" s="144">
        <f t="shared" si="5"/>
        <v>0</v>
      </c>
      <c r="K33" s="141"/>
      <c r="L33" s="144">
        <f t="shared" si="1"/>
        <v>0</v>
      </c>
      <c r="M33" s="141"/>
      <c r="N33" s="141"/>
      <c r="O33" s="144">
        <f t="shared" si="11"/>
        <v>0</v>
      </c>
      <c r="P33" s="141"/>
      <c r="Q33" s="141"/>
      <c r="R33" s="141"/>
      <c r="V33" s="166"/>
    </row>
    <row r="34" spans="1:22" ht="18.75">
      <c r="A34" s="145" t="s">
        <v>67</v>
      </c>
      <c r="B34" s="147">
        <v>1140000000</v>
      </c>
      <c r="C34" s="150">
        <f>C35+C36+C37</f>
        <v>825</v>
      </c>
      <c r="D34" s="150">
        <f>D35+D36+D37</f>
        <v>0</v>
      </c>
      <c r="E34" s="133">
        <f t="shared" si="13"/>
        <v>825</v>
      </c>
      <c r="F34" s="133"/>
      <c r="G34" s="150">
        <f>G35+G36+G37</f>
        <v>0</v>
      </c>
      <c r="H34" s="146">
        <f t="shared" si="14"/>
        <v>0.8</v>
      </c>
      <c r="I34" s="134">
        <f>IF(E34&gt;0,H34/E34,0)</f>
        <v>9.6969696969696978E-4</v>
      </c>
      <c r="J34" s="134"/>
      <c r="K34" s="150">
        <f>K35+K36+K37</f>
        <v>44</v>
      </c>
      <c r="L34" s="134">
        <f>IF(K34&gt;0,H34/K34,0)</f>
        <v>1.8181818181818184E-2</v>
      </c>
      <c r="M34" s="150">
        <f>M35+M36+M37</f>
        <v>0.8</v>
      </c>
      <c r="N34" s="150">
        <f>N35+N36+N37</f>
        <v>0</v>
      </c>
      <c r="O34" s="134">
        <f t="shared" si="11"/>
        <v>0</v>
      </c>
      <c r="P34" s="150">
        <f>P35+P36+P37</f>
        <v>0</v>
      </c>
      <c r="Q34" s="150">
        <f>Q35+Q36+Q37</f>
        <v>0</v>
      </c>
      <c r="R34" s="150">
        <f>R35+R36+R37</f>
        <v>0</v>
      </c>
      <c r="V34" s="166"/>
    </row>
    <row r="35" spans="1:22" ht="18">
      <c r="A35" s="15" t="s">
        <v>75</v>
      </c>
      <c r="B35" s="15">
        <v>1140205313</v>
      </c>
      <c r="C35" s="141">
        <v>300</v>
      </c>
      <c r="D35" s="141"/>
      <c r="E35" s="142">
        <f t="shared" si="13"/>
        <v>300</v>
      </c>
      <c r="F35" s="142"/>
      <c r="G35" s="141"/>
      <c r="H35" s="143">
        <f t="shared" si="14"/>
        <v>0</v>
      </c>
      <c r="I35" s="144">
        <f>IF(E35&gt;0,H35/E35,0)</f>
        <v>0</v>
      </c>
      <c r="J35" s="144">
        <f>IF(F35&gt;0,H35/F35,0)</f>
        <v>0</v>
      </c>
      <c r="K35" s="141"/>
      <c r="L35" s="144">
        <f>IF(K35&gt;0,H35/K35,0)</f>
        <v>0</v>
      </c>
      <c r="M35" s="141"/>
      <c r="N35" s="141"/>
      <c r="O35" s="144">
        <f t="shared" si="11"/>
        <v>0</v>
      </c>
      <c r="P35" s="141"/>
      <c r="Q35" s="141"/>
      <c r="R35" s="141"/>
      <c r="V35" s="166"/>
    </row>
    <row r="36" spans="1:22" ht="18">
      <c r="A36" s="15" t="s">
        <v>104</v>
      </c>
      <c r="B36" s="15">
        <v>1140601313</v>
      </c>
      <c r="C36" s="141">
        <v>525</v>
      </c>
      <c r="D36" s="141"/>
      <c r="E36" s="184">
        <f>C36+D36</f>
        <v>525</v>
      </c>
      <c r="F36" s="143"/>
      <c r="G36" s="141"/>
      <c r="H36" s="143">
        <f t="shared" si="14"/>
        <v>0.8</v>
      </c>
      <c r="I36" s="144">
        <f t="shared" si="4"/>
        <v>1.5238095238095239E-3</v>
      </c>
      <c r="J36" s="144">
        <f t="shared" si="5"/>
        <v>0</v>
      </c>
      <c r="K36" s="141">
        <v>-44</v>
      </c>
      <c r="L36" s="144">
        <f t="shared" si="1"/>
        <v>0</v>
      </c>
      <c r="M36" s="141">
        <v>0.8</v>
      </c>
      <c r="N36" s="141"/>
      <c r="O36" s="144">
        <f t="shared" si="11"/>
        <v>0</v>
      </c>
      <c r="P36" s="141"/>
      <c r="Q36" s="141"/>
      <c r="R36" s="141"/>
      <c r="V36" s="166"/>
    </row>
    <row r="37" spans="1:22" ht="18">
      <c r="A37" s="15" t="s">
        <v>105</v>
      </c>
      <c r="B37" s="149">
        <v>1140602513</v>
      </c>
      <c r="C37" s="148"/>
      <c r="D37" s="141"/>
      <c r="E37" s="185">
        <f>C37+D37</f>
        <v>0</v>
      </c>
      <c r="F37" s="143"/>
      <c r="G37" s="141"/>
      <c r="H37" s="143">
        <f t="shared" si="14"/>
        <v>0</v>
      </c>
      <c r="I37" s="144">
        <f t="shared" si="4"/>
        <v>0</v>
      </c>
      <c r="J37" s="144">
        <f t="shared" si="5"/>
        <v>0</v>
      </c>
      <c r="K37" s="141">
        <v>88</v>
      </c>
      <c r="L37" s="144">
        <f t="shared" si="1"/>
        <v>0</v>
      </c>
      <c r="M37" s="141"/>
      <c r="N37" s="141"/>
      <c r="O37" s="144">
        <f t="shared" si="11"/>
        <v>0</v>
      </c>
      <c r="P37" s="141"/>
      <c r="Q37" s="141"/>
      <c r="R37" s="141"/>
      <c r="V37" s="166"/>
    </row>
    <row r="38" spans="1:22" ht="18">
      <c r="A38" s="9" t="s">
        <v>77</v>
      </c>
      <c r="B38" s="55">
        <v>1160000000</v>
      </c>
      <c r="C38" s="72">
        <v>20</v>
      </c>
      <c r="D38" s="72"/>
      <c r="E38" s="85">
        <f>C38+D38</f>
        <v>20</v>
      </c>
      <c r="F38" s="75"/>
      <c r="G38" s="72"/>
      <c r="H38" s="75">
        <f t="shared" si="14"/>
        <v>35.6</v>
      </c>
      <c r="I38" s="66">
        <f t="shared" si="4"/>
        <v>1.78</v>
      </c>
      <c r="J38" s="66">
        <f t="shared" si="5"/>
        <v>0</v>
      </c>
      <c r="K38" s="72">
        <v>4</v>
      </c>
      <c r="L38" s="66">
        <f t="shared" si="1"/>
        <v>8.9</v>
      </c>
      <c r="M38" s="72">
        <v>35.6</v>
      </c>
      <c r="N38" s="72"/>
      <c r="O38" s="66">
        <f t="shared" si="11"/>
        <v>0</v>
      </c>
      <c r="P38" s="72"/>
      <c r="Q38" s="72"/>
      <c r="R38" s="72"/>
      <c r="V38" s="166"/>
    </row>
    <row r="39" spans="1:22" ht="18">
      <c r="A39" s="9" t="s">
        <v>69</v>
      </c>
      <c r="B39" s="30">
        <v>1170000000</v>
      </c>
      <c r="C39" s="72">
        <f>SUM(C40:C41)</f>
        <v>0</v>
      </c>
      <c r="D39" s="72">
        <f>SUM(D40:D42)</f>
        <v>0</v>
      </c>
      <c r="E39" s="72">
        <f>SUM(E40:E42)</f>
        <v>0</v>
      </c>
      <c r="F39" s="72">
        <f>SUM(F40:F41)</f>
        <v>0</v>
      </c>
      <c r="G39" s="72">
        <f>SUM(G40:G42)</f>
        <v>-0.5</v>
      </c>
      <c r="H39" s="73">
        <f>SUM(H40:H42)</f>
        <v>-0.5</v>
      </c>
      <c r="I39" s="66">
        <f t="shared" si="4"/>
        <v>0</v>
      </c>
      <c r="J39" s="66">
        <f t="shared" si="5"/>
        <v>0</v>
      </c>
      <c r="K39" s="72">
        <f>SUM(K40:K42)</f>
        <v>645.70000000000005</v>
      </c>
      <c r="L39" s="66">
        <f t="shared" si="1"/>
        <v>-7.743534148985596E-4</v>
      </c>
      <c r="M39" s="72">
        <f>SUM(M40:M42)</f>
        <v>0</v>
      </c>
      <c r="N39" s="72">
        <f>SUM(N40:N42)</f>
        <v>355.7</v>
      </c>
      <c r="O39" s="72">
        <f>SUM(O40:O41)</f>
        <v>0</v>
      </c>
      <c r="P39" s="72">
        <f>SUM(P40:P41)</f>
        <v>0</v>
      </c>
      <c r="Q39" s="72">
        <f>SUM(Q40:Q41)</f>
        <v>0</v>
      </c>
      <c r="R39" s="72">
        <f>SUM(R40:R41)</f>
        <v>0</v>
      </c>
      <c r="V39" s="166"/>
    </row>
    <row r="40" spans="1:22" ht="18">
      <c r="A40" s="13" t="s">
        <v>8</v>
      </c>
      <c r="B40" s="13">
        <v>1170103003</v>
      </c>
      <c r="C40" s="71"/>
      <c r="D40" s="71"/>
      <c r="E40" s="67">
        <f>C40+D40</f>
        <v>0</v>
      </c>
      <c r="F40" s="67"/>
      <c r="G40" s="71">
        <v>-0.5</v>
      </c>
      <c r="H40" s="68">
        <f>G40+M40</f>
        <v>-0.5</v>
      </c>
      <c r="I40" s="70">
        <f t="shared" si="4"/>
        <v>0</v>
      </c>
      <c r="J40" s="70">
        <f t="shared" si="5"/>
        <v>0</v>
      </c>
      <c r="K40" s="71"/>
      <c r="L40" s="70">
        <f t="shared" si="1"/>
        <v>0</v>
      </c>
      <c r="M40" s="71"/>
      <c r="N40" s="71"/>
      <c r="O40" s="70">
        <f t="shared" ref="O40:O49" si="15">IF(N40&gt;0,M40/N40,0)</f>
        <v>0</v>
      </c>
      <c r="P40" s="77"/>
      <c r="Q40" s="77"/>
      <c r="R40" s="77"/>
      <c r="V40" s="166"/>
    </row>
    <row r="41" spans="1:22" ht="18">
      <c r="A41" s="13" t="s">
        <v>33</v>
      </c>
      <c r="B41" s="13">
        <v>1170505013</v>
      </c>
      <c r="C41" s="71"/>
      <c r="D41" s="68"/>
      <c r="E41" s="67">
        <f>C41+D41</f>
        <v>0</v>
      </c>
      <c r="F41" s="67"/>
      <c r="G41" s="71"/>
      <c r="H41" s="69">
        <f>G41+M41</f>
        <v>0</v>
      </c>
      <c r="I41" s="70">
        <f>IF(E41&gt;0,H41/E41,0)</f>
        <v>0</v>
      </c>
      <c r="J41" s="70">
        <f>IF(F41&gt;0,H41/F41,0)</f>
        <v>0</v>
      </c>
      <c r="K41" s="71"/>
      <c r="L41" s="70">
        <f>IF(K41&gt;0,H41/K41,0)</f>
        <v>0</v>
      </c>
      <c r="M41" s="71"/>
      <c r="N41" s="71"/>
      <c r="O41" s="70">
        <f t="shared" si="15"/>
        <v>0</v>
      </c>
      <c r="P41" s="71"/>
      <c r="Q41" s="71"/>
      <c r="R41" s="71"/>
      <c r="V41" s="166"/>
    </row>
    <row r="42" spans="1:22" ht="18">
      <c r="A42" s="45" t="s">
        <v>115</v>
      </c>
      <c r="B42" s="13">
        <v>1171503013</v>
      </c>
      <c r="C42" s="71"/>
      <c r="D42" s="83"/>
      <c r="E42" s="67">
        <f>C42+D42</f>
        <v>0</v>
      </c>
      <c r="F42" s="67"/>
      <c r="G42" s="71"/>
      <c r="H42" s="69">
        <f>G42+M42</f>
        <v>0</v>
      </c>
      <c r="I42" s="70">
        <f>IF(E42&gt;0,H42/E42,0)</f>
        <v>0</v>
      </c>
      <c r="J42" s="70"/>
      <c r="K42" s="71">
        <v>645.70000000000005</v>
      </c>
      <c r="L42" s="70">
        <f>IF(K42&gt;0,H42/K42,0)</f>
        <v>0</v>
      </c>
      <c r="M42" s="71"/>
      <c r="N42" s="71">
        <v>355.7</v>
      </c>
      <c r="O42" s="70">
        <f t="shared" si="15"/>
        <v>0</v>
      </c>
      <c r="P42" s="71"/>
      <c r="Q42" s="71"/>
      <c r="R42" s="71"/>
      <c r="V42" s="166"/>
    </row>
    <row r="43" spans="1:22" ht="18">
      <c r="A43" s="9" t="s">
        <v>6</v>
      </c>
      <c r="B43" s="9">
        <v>1000000000</v>
      </c>
      <c r="C43" s="78">
        <f t="shared" ref="C43:H43" si="16">C5+C24</f>
        <v>13538.699999999999</v>
      </c>
      <c r="D43" s="78">
        <f t="shared" si="16"/>
        <v>368.577</v>
      </c>
      <c r="E43" s="78">
        <f t="shared" si="16"/>
        <v>13907.277</v>
      </c>
      <c r="F43" s="79">
        <f t="shared" si="16"/>
        <v>0</v>
      </c>
      <c r="G43" s="79">
        <f>G5+G24</f>
        <v>721.6</v>
      </c>
      <c r="H43" s="79">
        <f t="shared" si="16"/>
        <v>2048.4000000000005</v>
      </c>
      <c r="I43" s="80">
        <f t="shared" si="4"/>
        <v>0.14728979655758639</v>
      </c>
      <c r="J43" s="80">
        <f t="shared" si="5"/>
        <v>0</v>
      </c>
      <c r="K43" s="79">
        <f>K5+K24</f>
        <v>3433</v>
      </c>
      <c r="L43" s="80">
        <f t="shared" si="1"/>
        <v>0.5966792892513838</v>
      </c>
      <c r="M43" s="79">
        <f>M5+M24</f>
        <v>1326.8</v>
      </c>
      <c r="N43" s="79">
        <f>N5+N24</f>
        <v>1634.5</v>
      </c>
      <c r="O43" s="80">
        <f t="shared" si="15"/>
        <v>0.81174671153257871</v>
      </c>
      <c r="P43" s="79">
        <f>P5+P24</f>
        <v>678.5</v>
      </c>
      <c r="Q43" s="79">
        <f>Q5+Q24</f>
        <v>580.29999999999995</v>
      </c>
      <c r="R43" s="123">
        <f>R5+R24</f>
        <v>288.7</v>
      </c>
      <c r="V43" s="166"/>
    </row>
    <row r="44" spans="1:22" ht="18">
      <c r="A44" s="9" t="s">
        <v>92</v>
      </c>
      <c r="B44" s="9"/>
      <c r="C44" s="78">
        <f t="shared" ref="C44:H44" si="17">C43-C11</f>
        <v>11987.8</v>
      </c>
      <c r="D44" s="78">
        <f t="shared" si="17"/>
        <v>0</v>
      </c>
      <c r="E44" s="78">
        <f t="shared" si="17"/>
        <v>11987.8</v>
      </c>
      <c r="F44" s="79">
        <f t="shared" si="17"/>
        <v>0</v>
      </c>
      <c r="G44" s="79">
        <f>G43-G11</f>
        <v>524.6</v>
      </c>
      <c r="H44" s="79">
        <f t="shared" si="17"/>
        <v>1631.8000000000006</v>
      </c>
      <c r="I44" s="80">
        <f>IF(E44&gt;0,H44/E44,0)</f>
        <v>0.13612172375248174</v>
      </c>
      <c r="J44" s="80">
        <f>IF(F44&gt;0,H44/F44,0)</f>
        <v>0</v>
      </c>
      <c r="K44" s="79">
        <f>K43-K11</f>
        <v>3048.9</v>
      </c>
      <c r="L44" s="80">
        <f t="shared" si="1"/>
        <v>0.53520941979074443</v>
      </c>
      <c r="M44" s="79">
        <f>M43-M11</f>
        <v>1107.2</v>
      </c>
      <c r="N44" s="79">
        <f>N43-N11</f>
        <v>1389.9</v>
      </c>
      <c r="O44" s="80">
        <f t="shared" si="15"/>
        <v>0.79660407223541263</v>
      </c>
      <c r="P44" s="79"/>
      <c r="Q44" s="79"/>
      <c r="R44" s="123"/>
      <c r="V44" s="166"/>
    </row>
    <row r="45" spans="1:22" ht="18">
      <c r="A45" s="13" t="s">
        <v>36</v>
      </c>
      <c r="B45" s="13">
        <v>2000000000</v>
      </c>
      <c r="C45" s="83">
        <v>4881.1000000000004</v>
      </c>
      <c r="D45" s="83">
        <v>9900</v>
      </c>
      <c r="E45" s="165">
        <f>C45+D45</f>
        <v>14781.1</v>
      </c>
      <c r="F45" s="67"/>
      <c r="G45" s="71">
        <v>383.2</v>
      </c>
      <c r="H45" s="68">
        <f>G45+M45</f>
        <v>633.20000000000005</v>
      </c>
      <c r="I45" s="70">
        <f t="shared" si="4"/>
        <v>4.283848969291866E-2</v>
      </c>
      <c r="J45" s="70">
        <f t="shared" si="5"/>
        <v>0</v>
      </c>
      <c r="K45" s="71">
        <v>406.4</v>
      </c>
      <c r="L45" s="70">
        <f t="shared" si="1"/>
        <v>1.5580708661417324</v>
      </c>
      <c r="M45" s="71">
        <v>250</v>
      </c>
      <c r="N45" s="71">
        <v>135.5</v>
      </c>
      <c r="O45" s="70">
        <f t="shared" si="15"/>
        <v>1.8450184501845019</v>
      </c>
      <c r="P45" s="71"/>
      <c r="Q45" s="71"/>
      <c r="R45" s="71"/>
      <c r="V45" s="166"/>
    </row>
    <row r="46" spans="1:22" ht="18">
      <c r="A46" s="13" t="s">
        <v>46</v>
      </c>
      <c r="B46" s="34" t="s">
        <v>95</v>
      </c>
      <c r="C46" s="71"/>
      <c r="D46" s="83"/>
      <c r="E46" s="67">
        <f>C46+D46</f>
        <v>0</v>
      </c>
      <c r="F46" s="67"/>
      <c r="G46" s="71"/>
      <c r="H46" s="68">
        <f>G46+M46</f>
        <v>0</v>
      </c>
      <c r="I46" s="70">
        <f>IF(E46&gt;0,H46/E46,0)</f>
        <v>0</v>
      </c>
      <c r="J46" s="70">
        <f>IF(F46&gt;0,H46/F46,0)</f>
        <v>0</v>
      </c>
      <c r="K46" s="71"/>
      <c r="L46" s="70">
        <f t="shared" si="1"/>
        <v>0</v>
      </c>
      <c r="M46" s="71"/>
      <c r="N46" s="71"/>
      <c r="O46" s="70">
        <f t="shared" si="15"/>
        <v>0</v>
      </c>
      <c r="P46" s="71"/>
      <c r="Q46" s="71"/>
      <c r="R46" s="71"/>
      <c r="V46" s="166"/>
    </row>
    <row r="47" spans="1:22" ht="18">
      <c r="A47" s="8" t="s">
        <v>108</v>
      </c>
      <c r="B47" s="157" t="s">
        <v>111</v>
      </c>
      <c r="C47" s="71"/>
      <c r="D47" s="83"/>
      <c r="E47" s="67">
        <f>C47+D47</f>
        <v>0</v>
      </c>
      <c r="F47" s="67"/>
      <c r="G47" s="68"/>
      <c r="H47" s="68">
        <f>G47+M47</f>
        <v>0</v>
      </c>
      <c r="I47" s="70">
        <f>IF(E47&gt;0,H47/E47,0)</f>
        <v>0</v>
      </c>
      <c r="J47" s="70"/>
      <c r="K47" s="68"/>
      <c r="L47" s="70"/>
      <c r="M47" s="68"/>
      <c r="N47" s="68"/>
      <c r="O47" s="70"/>
      <c r="P47" s="71"/>
      <c r="Q47" s="71"/>
      <c r="R47" s="71"/>
      <c r="V47" s="166"/>
    </row>
    <row r="48" spans="1:22" ht="24" customHeight="1">
      <c r="A48" s="8" t="s">
        <v>93</v>
      </c>
      <c r="B48" s="46" t="s">
        <v>107</v>
      </c>
      <c r="C48" s="71"/>
      <c r="D48" s="82"/>
      <c r="E48" s="67">
        <f>C48+D48</f>
        <v>0</v>
      </c>
      <c r="F48" s="67"/>
      <c r="G48" s="71"/>
      <c r="H48" s="68">
        <f>G48+M48</f>
        <v>0</v>
      </c>
      <c r="I48" s="70"/>
      <c r="J48" s="70"/>
      <c r="K48" s="71"/>
      <c r="L48" s="70"/>
      <c r="M48" s="71"/>
      <c r="N48" s="71"/>
      <c r="O48" s="70"/>
      <c r="P48" s="71"/>
      <c r="Q48" s="71"/>
      <c r="R48" s="71"/>
      <c r="V48" s="166"/>
    </row>
    <row r="49" spans="1:22" ht="18">
      <c r="A49" s="9" t="s">
        <v>2</v>
      </c>
      <c r="B49" s="9"/>
      <c r="C49" s="78">
        <f>C43+C45+C46</f>
        <v>18419.8</v>
      </c>
      <c r="D49" s="78">
        <f>D43+D45+D46+D48+D47</f>
        <v>10268.576999999999</v>
      </c>
      <c r="E49" s="78">
        <f>E43+E45+E46+E48+E47</f>
        <v>28688.377</v>
      </c>
      <c r="F49" s="79">
        <f>F43+F45+F46</f>
        <v>0</v>
      </c>
      <c r="G49" s="79">
        <f>G43+G45+G46+G48+G47</f>
        <v>1104.8</v>
      </c>
      <c r="H49" s="79">
        <f>H43+H45+H46+H48+H47</f>
        <v>2681.6000000000004</v>
      </c>
      <c r="I49" s="80">
        <f t="shared" si="4"/>
        <v>9.3473395166272399E-2</v>
      </c>
      <c r="J49" s="80">
        <f t="shared" si="5"/>
        <v>0</v>
      </c>
      <c r="K49" s="79">
        <f>K43+K45+K46+K47+K48</f>
        <v>3839.4</v>
      </c>
      <c r="L49" s="80">
        <f t="shared" si="1"/>
        <v>0.69844246496848472</v>
      </c>
      <c r="M49" s="79">
        <f>M43+M45+M46+M48+M47</f>
        <v>1576.8</v>
      </c>
      <c r="N49" s="79">
        <f>N43+N45+N46+N48+N47</f>
        <v>1770</v>
      </c>
      <c r="O49" s="80">
        <f t="shared" si="15"/>
        <v>0.89084745762711859</v>
      </c>
      <c r="P49" s="79">
        <f>P43+P45+P46</f>
        <v>678.5</v>
      </c>
      <c r="Q49" s="79">
        <f>Q43+Q45+Q46</f>
        <v>580.29999999999995</v>
      </c>
      <c r="R49" s="79">
        <f>R43+R45+R46</f>
        <v>288.7</v>
      </c>
      <c r="V49" s="166"/>
    </row>
  </sheetData>
  <mergeCells count="15">
    <mergeCell ref="A3:A4"/>
    <mergeCell ref="B3:B4"/>
    <mergeCell ref="C3:C4"/>
    <mergeCell ref="D3:D4"/>
    <mergeCell ref="C1:N1"/>
    <mergeCell ref="B2:R2"/>
    <mergeCell ref="G3:G4"/>
    <mergeCell ref="M3:M4"/>
    <mergeCell ref="E3:E4"/>
    <mergeCell ref="P3:R3"/>
    <mergeCell ref="K3:L3"/>
    <mergeCell ref="F3:F4"/>
    <mergeCell ref="H3:J3"/>
    <mergeCell ref="N3:N4"/>
    <mergeCell ref="O3:O4"/>
  </mergeCells>
  <phoneticPr fontId="0" type="noConversion"/>
  <pageMargins left="0.75" right="0.75" top="1" bottom="1" header="0.5" footer="0.5"/>
  <pageSetup paperSize="9" scale="49" fitToWidth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zoomScaleNormal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Q7" sqref="Q7:Q21"/>
    </sheetView>
  </sheetViews>
  <sheetFormatPr defaultRowHeight="12.75"/>
  <cols>
    <col min="1" max="1" width="40.140625" customWidth="1"/>
    <col min="2" max="2" width="15.42578125" customWidth="1"/>
    <col min="3" max="3" width="14" customWidth="1"/>
    <col min="4" max="4" width="14.42578125" customWidth="1"/>
    <col min="5" max="5" width="14.85546875" customWidth="1"/>
    <col min="6" max="6" width="11" hidden="1" customWidth="1"/>
    <col min="7" max="7" width="11.85546875" customWidth="1"/>
    <col min="8" max="8" width="11.42578125" customWidth="1"/>
    <col min="9" max="9" width="12.42578125" customWidth="1"/>
    <col min="10" max="10" width="0.140625" hidden="1" customWidth="1"/>
    <col min="11" max="11" width="12.42578125" customWidth="1"/>
    <col min="12" max="12" width="13.140625" customWidth="1"/>
    <col min="13" max="13" width="11.28515625" customWidth="1"/>
    <col min="14" max="14" width="11.140625" customWidth="1"/>
    <col min="15" max="15" width="14.28515625" customWidth="1"/>
    <col min="16" max="16" width="10.42578125" customWidth="1"/>
    <col min="17" max="17" width="10.7109375" customWidth="1"/>
    <col min="18" max="18" width="10.5703125" customWidth="1"/>
    <col min="19" max="19" width="10.28515625" bestFit="1" customWidth="1"/>
  </cols>
  <sheetData>
    <row r="1" spans="1:19" ht="15.75">
      <c r="A1" s="26"/>
      <c r="B1" s="48"/>
      <c r="C1" s="199" t="s">
        <v>11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49"/>
      <c r="O1" s="49"/>
      <c r="P1" s="26"/>
      <c r="Q1" s="26"/>
      <c r="R1" s="26"/>
    </row>
    <row r="2" spans="1:19" ht="15.75">
      <c r="A2" s="26"/>
      <c r="B2" s="200" t="s">
        <v>132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9" ht="18" customHeight="1">
      <c r="A3" s="201" t="s">
        <v>3</v>
      </c>
      <c r="B3" s="193" t="s">
        <v>4</v>
      </c>
      <c r="C3" s="193" t="s">
        <v>121</v>
      </c>
      <c r="D3" s="193" t="s">
        <v>24</v>
      </c>
      <c r="E3" s="193" t="s">
        <v>120</v>
      </c>
      <c r="F3" s="193" t="s">
        <v>99</v>
      </c>
      <c r="G3" s="193" t="s">
        <v>123</v>
      </c>
      <c r="H3" s="193" t="s">
        <v>119</v>
      </c>
      <c r="I3" s="193"/>
      <c r="J3" s="193"/>
      <c r="K3" s="193" t="s">
        <v>114</v>
      </c>
      <c r="L3" s="193"/>
      <c r="M3" s="193" t="s">
        <v>126</v>
      </c>
      <c r="N3" s="193" t="s">
        <v>127</v>
      </c>
      <c r="O3" s="193" t="s">
        <v>30</v>
      </c>
      <c r="P3" s="193" t="s">
        <v>9</v>
      </c>
      <c r="Q3" s="193"/>
      <c r="R3" s="193"/>
    </row>
    <row r="4" spans="1:19" ht="98.25" customHeight="1">
      <c r="A4" s="202"/>
      <c r="B4" s="203"/>
      <c r="C4" s="193"/>
      <c r="D4" s="193"/>
      <c r="E4" s="193"/>
      <c r="F4" s="193"/>
      <c r="G4" s="193"/>
      <c r="H4" s="188" t="s">
        <v>125</v>
      </c>
      <c r="I4" s="188" t="s">
        <v>10</v>
      </c>
      <c r="J4" s="188" t="s">
        <v>29</v>
      </c>
      <c r="K4" s="188" t="s">
        <v>125</v>
      </c>
      <c r="L4" s="188" t="s">
        <v>30</v>
      </c>
      <c r="M4" s="193"/>
      <c r="N4" s="193"/>
      <c r="O4" s="193"/>
      <c r="P4" s="122" t="s">
        <v>118</v>
      </c>
      <c r="Q4" s="122" t="s">
        <v>124</v>
      </c>
      <c r="R4" s="122" t="s">
        <v>137</v>
      </c>
    </row>
    <row r="5" spans="1:19" ht="21" customHeight="1">
      <c r="A5" s="51" t="s">
        <v>21</v>
      </c>
      <c r="B5" s="52"/>
      <c r="C5" s="84">
        <f t="shared" ref="C5:H5" si="0">C6+C15+C17+C22+C23+C10</f>
        <v>1776.6</v>
      </c>
      <c r="D5" s="84">
        <f t="shared" si="0"/>
        <v>0</v>
      </c>
      <c r="E5" s="84">
        <f t="shared" si="0"/>
        <v>1776.6</v>
      </c>
      <c r="F5" s="84" t="e">
        <f t="shared" si="0"/>
        <v>#REF!</v>
      </c>
      <c r="G5" s="84">
        <f t="shared" si="0"/>
        <v>69.900000000000006</v>
      </c>
      <c r="H5" s="84">
        <f t="shared" si="0"/>
        <v>254.89999999999998</v>
      </c>
      <c r="I5" s="64">
        <f t="shared" ref="I5:I41" si="1">IF(E5&gt;0,H5/E5,0)</f>
        <v>0.14347630305077114</v>
      </c>
      <c r="J5" s="64" t="e">
        <f>IF(F5&gt;0,H5/F5,0)</f>
        <v>#REF!</v>
      </c>
      <c r="K5" s="84">
        <f>K6+K15+K17+K22+K23+K10</f>
        <v>232.9</v>
      </c>
      <c r="L5" s="64">
        <f>IF(K5&gt;0,H5/K5,0)</f>
        <v>1.0944611421210819</v>
      </c>
      <c r="M5" s="84">
        <f>M6+M15+M17+M22+M23+M10</f>
        <v>185</v>
      </c>
      <c r="N5" s="84">
        <f>N6+N15+N17+N22+N23+N10</f>
        <v>132.89999999999998</v>
      </c>
      <c r="O5" s="64">
        <f t="shared" ref="O5:O31" si="2">IF(N5&gt;0,M5/N5,0)</f>
        <v>1.3920240782543267</v>
      </c>
      <c r="P5" s="84">
        <f>P6+P15+P17+P22+P23+P10</f>
        <v>47.3</v>
      </c>
      <c r="Q5" s="84">
        <f>Q6+Q15+Q17+Q22+Q23+Q10</f>
        <v>46.4</v>
      </c>
      <c r="R5" s="84">
        <f>R6+R15+R17+R22+R23+R10</f>
        <v>0</v>
      </c>
    </row>
    <row r="6" spans="1:19" ht="16.5" customHeight="1">
      <c r="A6" s="9" t="s">
        <v>63</v>
      </c>
      <c r="B6" s="53">
        <v>1010200001</v>
      </c>
      <c r="C6" s="85">
        <f>C7+C8+C9</f>
        <v>442.2</v>
      </c>
      <c r="D6" s="85">
        <f>D7+D8+D9</f>
        <v>0</v>
      </c>
      <c r="E6" s="85">
        <f>E7+E8+E9</f>
        <v>442.2</v>
      </c>
      <c r="F6" s="85" t="e">
        <f>F7+F8+F9+#REF!</f>
        <v>#REF!</v>
      </c>
      <c r="G6" s="85">
        <f>G7+G8+G9</f>
        <v>19.2</v>
      </c>
      <c r="H6" s="85">
        <f>H7+H8+H9</f>
        <v>109.4</v>
      </c>
      <c r="I6" s="66">
        <f t="shared" si="1"/>
        <v>0.24739936680235189</v>
      </c>
      <c r="J6" s="66" t="e">
        <f>IF(F6&gt;0,H6/F6,0)</f>
        <v>#REF!</v>
      </c>
      <c r="K6" s="85">
        <f>K7+K8+K9</f>
        <v>91</v>
      </c>
      <c r="L6" s="66">
        <f t="shared" ref="L6:L41" si="3">IF(K6&gt;0,H6/K6,0)</f>
        <v>1.2021978021978024</v>
      </c>
      <c r="M6" s="85">
        <f>M7+M8+M9</f>
        <v>90.2</v>
      </c>
      <c r="N6" s="85">
        <f>N7+N8+N9</f>
        <v>37.1</v>
      </c>
      <c r="O6" s="66">
        <f t="shared" si="2"/>
        <v>2.431266846361186</v>
      </c>
      <c r="P6" s="85">
        <f>P7+P8+P9</f>
        <v>32.299999999999997</v>
      </c>
      <c r="Q6" s="85">
        <f>Q7+Q8+Q9</f>
        <v>33.1</v>
      </c>
      <c r="R6" s="85">
        <f>R7+R8+R9</f>
        <v>0</v>
      </c>
      <c r="S6" s="26"/>
    </row>
    <row r="7" spans="1:19" ht="18">
      <c r="A7" s="10" t="s">
        <v>44</v>
      </c>
      <c r="B7" s="13">
        <v>1010201001</v>
      </c>
      <c r="C7" s="71">
        <v>442.2</v>
      </c>
      <c r="D7" s="68"/>
      <c r="E7" s="67">
        <f>C7+D7</f>
        <v>442.2</v>
      </c>
      <c r="F7" s="67"/>
      <c r="G7" s="68">
        <v>19.2</v>
      </c>
      <c r="H7" s="69">
        <f>G7+M7</f>
        <v>109.4</v>
      </c>
      <c r="I7" s="70">
        <f t="shared" si="1"/>
        <v>0.24739936680235189</v>
      </c>
      <c r="J7" s="70">
        <f t="shared" ref="J7:J41" si="4">IF(F7&gt;0,H7/F7,0)</f>
        <v>0</v>
      </c>
      <c r="K7" s="68">
        <v>91</v>
      </c>
      <c r="L7" s="70">
        <f t="shared" si="3"/>
        <v>1.2021978021978024</v>
      </c>
      <c r="M7" s="68">
        <v>90.2</v>
      </c>
      <c r="N7" s="68">
        <v>37.1</v>
      </c>
      <c r="O7" s="70">
        <f t="shared" si="2"/>
        <v>2.431266846361186</v>
      </c>
      <c r="P7" s="71">
        <v>0.4</v>
      </c>
      <c r="Q7" s="71">
        <v>1.2</v>
      </c>
      <c r="R7" s="71"/>
      <c r="S7" s="171"/>
    </row>
    <row r="8" spans="1:19" ht="18">
      <c r="A8" s="10" t="s">
        <v>43</v>
      </c>
      <c r="B8" s="13">
        <v>1010202001</v>
      </c>
      <c r="C8" s="71"/>
      <c r="D8" s="68"/>
      <c r="E8" s="67">
        <f>C8+D8</f>
        <v>0</v>
      </c>
      <c r="F8" s="67"/>
      <c r="G8" s="71"/>
      <c r="H8" s="69">
        <f>G8+M8</f>
        <v>0</v>
      </c>
      <c r="I8" s="70">
        <f t="shared" si="1"/>
        <v>0</v>
      </c>
      <c r="J8" s="70">
        <f t="shared" si="4"/>
        <v>0</v>
      </c>
      <c r="K8" s="71"/>
      <c r="L8" s="70">
        <f>IF(K8&gt;0,H8/K8,0)</f>
        <v>0</v>
      </c>
      <c r="M8" s="71"/>
      <c r="N8" s="71"/>
      <c r="O8" s="70">
        <f>IF(N8&gt;0,M8/N8,0)</f>
        <v>0</v>
      </c>
      <c r="P8" s="67"/>
      <c r="Q8" s="67"/>
      <c r="R8" s="67"/>
      <c r="S8" s="26"/>
    </row>
    <row r="9" spans="1:19" ht="21" customHeight="1">
      <c r="A9" s="10" t="s">
        <v>42</v>
      </c>
      <c r="B9" s="13">
        <v>1010203001</v>
      </c>
      <c r="C9" s="71"/>
      <c r="D9" s="71"/>
      <c r="E9" s="67">
        <f>C9+D9</f>
        <v>0</v>
      </c>
      <c r="F9" s="67"/>
      <c r="G9" s="71"/>
      <c r="H9" s="69">
        <f>G9+M9</f>
        <v>0</v>
      </c>
      <c r="I9" s="70">
        <f t="shared" si="1"/>
        <v>0</v>
      </c>
      <c r="J9" s="70">
        <f t="shared" si="4"/>
        <v>0</v>
      </c>
      <c r="K9" s="71"/>
      <c r="L9" s="70">
        <f t="shared" si="3"/>
        <v>0</v>
      </c>
      <c r="M9" s="71"/>
      <c r="N9" s="71"/>
      <c r="O9" s="70">
        <f t="shared" si="2"/>
        <v>0</v>
      </c>
      <c r="P9" s="71">
        <v>31.9</v>
      </c>
      <c r="Q9" s="71">
        <v>31.9</v>
      </c>
      <c r="R9" s="71"/>
      <c r="S9" s="26"/>
    </row>
    <row r="10" spans="1:19" ht="30" customHeight="1">
      <c r="A10" s="11" t="s">
        <v>48</v>
      </c>
      <c r="B10" s="19">
        <v>1030200001</v>
      </c>
      <c r="C10" s="72">
        <f t="shared" ref="C10:H10" si="5">SUM(C11:C14)</f>
        <v>1174.7</v>
      </c>
      <c r="D10" s="72">
        <f t="shared" si="5"/>
        <v>0</v>
      </c>
      <c r="E10" s="72">
        <f t="shared" si="5"/>
        <v>1174.7</v>
      </c>
      <c r="F10" s="72"/>
      <c r="G10" s="72">
        <f>SUM(G11:G14)</f>
        <v>53.400000000000006</v>
      </c>
      <c r="H10" s="72">
        <f t="shared" si="5"/>
        <v>112.89999999999999</v>
      </c>
      <c r="I10" s="66">
        <f t="shared" si="1"/>
        <v>9.6109645015748688E-2</v>
      </c>
      <c r="J10" s="66">
        <f>IF(F10&gt;0,H10/F10,0)</f>
        <v>0</v>
      </c>
      <c r="K10" s="72">
        <f>SUM(K11:K14)</f>
        <v>103.9</v>
      </c>
      <c r="L10" s="66">
        <f t="shared" si="3"/>
        <v>1.0866217516843117</v>
      </c>
      <c r="M10" s="72">
        <f>SUM(M11:M14)</f>
        <v>59.499999999999993</v>
      </c>
      <c r="N10" s="72">
        <f>SUM(N11:N14)</f>
        <v>66.199999999999989</v>
      </c>
      <c r="O10" s="66">
        <f t="shared" si="2"/>
        <v>0.8987915407854985</v>
      </c>
      <c r="P10" s="72">
        <f>SUM(P11:P14)</f>
        <v>0</v>
      </c>
      <c r="Q10" s="72">
        <f>SUM(Q11:Q14)</f>
        <v>0</v>
      </c>
      <c r="R10" s="72">
        <f>SUM(R11:R14)</f>
        <v>0</v>
      </c>
      <c r="S10" s="26"/>
    </row>
    <row r="11" spans="1:19" ht="22.5" customHeight="1">
      <c r="A11" s="12" t="s">
        <v>49</v>
      </c>
      <c r="B11" s="12">
        <v>1030223101</v>
      </c>
      <c r="C11" s="71">
        <v>499.3</v>
      </c>
      <c r="D11" s="71"/>
      <c r="E11" s="67">
        <f>C11+D11</f>
        <v>499.3</v>
      </c>
      <c r="F11" s="67"/>
      <c r="G11" s="71">
        <v>27.8</v>
      </c>
      <c r="H11" s="69">
        <f>G11+M11</f>
        <v>58</v>
      </c>
      <c r="I11" s="70">
        <f t="shared" si="1"/>
        <v>0.11616262767875024</v>
      </c>
      <c r="J11" s="70">
        <f>IF(F11&gt;0,H11/F11,0)</f>
        <v>0</v>
      </c>
      <c r="K11" s="71">
        <v>49.9</v>
      </c>
      <c r="L11" s="70">
        <f t="shared" si="3"/>
        <v>1.1623246492985972</v>
      </c>
      <c r="M11" s="71">
        <v>30.2</v>
      </c>
      <c r="N11" s="71">
        <v>32.299999999999997</v>
      </c>
      <c r="O11" s="70">
        <f t="shared" si="2"/>
        <v>0.93498452012383904</v>
      </c>
      <c r="P11" s="71"/>
      <c r="Q11" s="71"/>
      <c r="R11" s="71"/>
      <c r="S11" s="26"/>
    </row>
    <row r="12" spans="1:19" ht="18.75" customHeight="1">
      <c r="A12" s="12" t="s">
        <v>50</v>
      </c>
      <c r="B12" s="12">
        <v>1030224101</v>
      </c>
      <c r="C12" s="71">
        <v>1.4</v>
      </c>
      <c r="D12" s="71"/>
      <c r="E12" s="67">
        <f>C12+D12</f>
        <v>1.4</v>
      </c>
      <c r="F12" s="67"/>
      <c r="G12" s="71">
        <v>0.1</v>
      </c>
      <c r="H12" s="69">
        <f>G12+M12</f>
        <v>0.2</v>
      </c>
      <c r="I12" s="70">
        <f t="shared" si="1"/>
        <v>0.14285714285714288</v>
      </c>
      <c r="J12" s="70">
        <f>IF(F12&gt;0,H12/F12,0)</f>
        <v>0</v>
      </c>
      <c r="K12" s="71">
        <v>0.3</v>
      </c>
      <c r="L12" s="70">
        <f t="shared" si="3"/>
        <v>0.66666666666666674</v>
      </c>
      <c r="M12" s="71">
        <v>0.1</v>
      </c>
      <c r="N12" s="71">
        <v>0.2</v>
      </c>
      <c r="O12" s="70">
        <f t="shared" si="2"/>
        <v>0.5</v>
      </c>
      <c r="P12" s="71"/>
      <c r="Q12" s="71"/>
      <c r="R12" s="71"/>
      <c r="S12" s="26"/>
    </row>
    <row r="13" spans="1:19" ht="19.5" customHeight="1">
      <c r="A13" s="12" t="s">
        <v>51</v>
      </c>
      <c r="B13" s="12">
        <v>1030225101</v>
      </c>
      <c r="C13" s="71">
        <v>700.3</v>
      </c>
      <c r="D13" s="71"/>
      <c r="E13" s="67">
        <f>C13+D13</f>
        <v>700.3</v>
      </c>
      <c r="F13" s="67"/>
      <c r="G13" s="71">
        <v>28.3</v>
      </c>
      <c r="H13" s="69">
        <f>G13+M13</f>
        <v>62.099999999999994</v>
      </c>
      <c r="I13" s="70">
        <f t="shared" si="1"/>
        <v>8.8676281593602746E-2</v>
      </c>
      <c r="J13" s="70">
        <f>IF(F13&gt;0,H13/F13,0)</f>
        <v>0</v>
      </c>
      <c r="K13" s="71">
        <v>60.3</v>
      </c>
      <c r="L13" s="70">
        <f t="shared" si="3"/>
        <v>1.0298507462686566</v>
      </c>
      <c r="M13" s="71">
        <v>33.799999999999997</v>
      </c>
      <c r="N13" s="71">
        <v>38.6</v>
      </c>
      <c r="O13" s="70">
        <f t="shared" si="2"/>
        <v>0.87564766839378227</v>
      </c>
      <c r="P13" s="71"/>
      <c r="Q13" s="71"/>
      <c r="R13" s="71"/>
      <c r="S13" s="26"/>
    </row>
    <row r="14" spans="1:19" ht="18.75" customHeight="1">
      <c r="A14" s="12" t="s">
        <v>52</v>
      </c>
      <c r="B14" s="12">
        <v>1030226101</v>
      </c>
      <c r="C14" s="71">
        <v>-26.3</v>
      </c>
      <c r="D14" s="71"/>
      <c r="E14" s="67">
        <f>C14+D14</f>
        <v>-26.3</v>
      </c>
      <c r="F14" s="67"/>
      <c r="G14" s="71">
        <v>-2.8</v>
      </c>
      <c r="H14" s="69">
        <f>G14+M14</f>
        <v>-7.3999999999999995</v>
      </c>
      <c r="I14" s="70">
        <f>H14/E14</f>
        <v>0.28136882129277563</v>
      </c>
      <c r="J14" s="70">
        <f>IF(F14&gt;0,H14/F14,0)</f>
        <v>0</v>
      </c>
      <c r="K14" s="71">
        <v>-6.6</v>
      </c>
      <c r="L14" s="70">
        <f t="shared" si="3"/>
        <v>0</v>
      </c>
      <c r="M14" s="71">
        <v>-4.5999999999999996</v>
      </c>
      <c r="N14" s="71">
        <v>-4.9000000000000004</v>
      </c>
      <c r="O14" s="70">
        <f t="shared" si="2"/>
        <v>0</v>
      </c>
      <c r="P14" s="71"/>
      <c r="Q14" s="71"/>
      <c r="R14" s="71"/>
      <c r="S14" s="26"/>
    </row>
    <row r="15" spans="1:19" ht="18">
      <c r="A15" s="9" t="s">
        <v>70</v>
      </c>
      <c r="B15" s="30">
        <v>1050000000</v>
      </c>
      <c r="C15" s="72">
        <f t="shared" ref="C15:H15" si="6">C16</f>
        <v>45.7</v>
      </c>
      <c r="D15" s="128">
        <f t="shared" si="6"/>
        <v>0</v>
      </c>
      <c r="E15" s="128">
        <f t="shared" si="6"/>
        <v>45.7</v>
      </c>
      <c r="F15" s="73">
        <f t="shared" si="6"/>
        <v>0</v>
      </c>
      <c r="G15" s="72">
        <f>G16</f>
        <v>0</v>
      </c>
      <c r="H15" s="73">
        <f t="shared" si="6"/>
        <v>15.8</v>
      </c>
      <c r="I15" s="66">
        <f t="shared" si="1"/>
        <v>0.34573304157549234</v>
      </c>
      <c r="J15" s="66">
        <f t="shared" si="4"/>
        <v>0</v>
      </c>
      <c r="K15" s="72">
        <f>K16</f>
        <v>0</v>
      </c>
      <c r="L15" s="66">
        <f t="shared" si="3"/>
        <v>0</v>
      </c>
      <c r="M15" s="72">
        <f>M16</f>
        <v>15.8</v>
      </c>
      <c r="N15" s="72">
        <f>N16</f>
        <v>0</v>
      </c>
      <c r="O15" s="66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S15" s="26"/>
    </row>
    <row r="16" spans="1:19" ht="18">
      <c r="A16" s="13" t="s">
        <v>7</v>
      </c>
      <c r="B16" s="13">
        <v>1050300001</v>
      </c>
      <c r="C16" s="71">
        <v>45.7</v>
      </c>
      <c r="D16" s="83"/>
      <c r="E16" s="67">
        <f>C16+D16</f>
        <v>45.7</v>
      </c>
      <c r="F16" s="67">
        <f>1-1</f>
        <v>0</v>
      </c>
      <c r="G16" s="71"/>
      <c r="H16" s="69">
        <f>G16+M16</f>
        <v>15.8</v>
      </c>
      <c r="I16" s="70">
        <f t="shared" si="1"/>
        <v>0.34573304157549234</v>
      </c>
      <c r="J16" s="70">
        <f t="shared" si="4"/>
        <v>0</v>
      </c>
      <c r="K16" s="71"/>
      <c r="L16" s="70">
        <f t="shared" si="3"/>
        <v>0</v>
      </c>
      <c r="M16" s="71">
        <v>15.8</v>
      </c>
      <c r="N16" s="71"/>
      <c r="O16" s="70">
        <f t="shared" si="2"/>
        <v>0</v>
      </c>
      <c r="P16" s="71"/>
      <c r="Q16" s="71"/>
      <c r="R16" s="71"/>
      <c r="S16" s="26"/>
    </row>
    <row r="17" spans="1:20" ht="18">
      <c r="A17" s="9" t="s">
        <v>71</v>
      </c>
      <c r="B17" s="30">
        <v>1060000000</v>
      </c>
      <c r="C17" s="72">
        <f t="shared" ref="C17:H17" si="7">C18+C21</f>
        <v>113</v>
      </c>
      <c r="D17" s="126">
        <f t="shared" si="7"/>
        <v>0</v>
      </c>
      <c r="E17" s="73">
        <f t="shared" si="7"/>
        <v>113</v>
      </c>
      <c r="F17" s="73">
        <f t="shared" si="7"/>
        <v>0</v>
      </c>
      <c r="G17" s="72">
        <f>G18+G21</f>
        <v>-2.8</v>
      </c>
      <c r="H17" s="73">
        <f t="shared" si="7"/>
        <v>16.700000000000003</v>
      </c>
      <c r="I17" s="66">
        <f t="shared" si="1"/>
        <v>0.14778761061946905</v>
      </c>
      <c r="J17" s="66">
        <f t="shared" si="4"/>
        <v>0</v>
      </c>
      <c r="K17" s="72">
        <f>K18+K21</f>
        <v>37.9</v>
      </c>
      <c r="L17" s="66">
        <f t="shared" si="3"/>
        <v>0.44063324538258586</v>
      </c>
      <c r="M17" s="72">
        <f>M18+M21</f>
        <v>19.5</v>
      </c>
      <c r="N17" s="72">
        <f>N18+N21</f>
        <v>29.6</v>
      </c>
      <c r="O17" s="66">
        <f t="shared" si="2"/>
        <v>0.65878378378378377</v>
      </c>
      <c r="P17" s="72">
        <f>P18+P21</f>
        <v>15</v>
      </c>
      <c r="Q17" s="72">
        <f>Q18+Q21</f>
        <v>13.299999999999999</v>
      </c>
      <c r="R17" s="72">
        <f>R18+R21</f>
        <v>0</v>
      </c>
      <c r="S17" s="26"/>
    </row>
    <row r="18" spans="1:20" ht="18">
      <c r="A18" s="13" t="s">
        <v>13</v>
      </c>
      <c r="B18" s="13">
        <v>1060600000</v>
      </c>
      <c r="C18" s="74">
        <f t="shared" ref="C18:H18" si="8">C19+C20</f>
        <v>103</v>
      </c>
      <c r="D18" s="74">
        <f t="shared" si="8"/>
        <v>0</v>
      </c>
      <c r="E18" s="68">
        <f t="shared" si="8"/>
        <v>103</v>
      </c>
      <c r="F18" s="68">
        <f t="shared" si="8"/>
        <v>0</v>
      </c>
      <c r="G18" s="74">
        <f>G19+G20</f>
        <v>-2.4</v>
      </c>
      <c r="H18" s="68">
        <f t="shared" si="8"/>
        <v>17.100000000000001</v>
      </c>
      <c r="I18" s="70">
        <f t="shared" si="1"/>
        <v>0.16601941747572818</v>
      </c>
      <c r="J18" s="70">
        <f t="shared" si="4"/>
        <v>0</v>
      </c>
      <c r="K18" s="74">
        <f>K19+K20</f>
        <v>38.5</v>
      </c>
      <c r="L18" s="70">
        <f t="shared" si="3"/>
        <v>0.44415584415584419</v>
      </c>
      <c r="M18" s="74">
        <f>M19+M20</f>
        <v>19.5</v>
      </c>
      <c r="N18" s="74">
        <f>N19+N20</f>
        <v>29.8</v>
      </c>
      <c r="O18" s="70">
        <f t="shared" si="2"/>
        <v>0.65436241610738255</v>
      </c>
      <c r="P18" s="71">
        <f>P19+P20</f>
        <v>12.3</v>
      </c>
      <c r="Q18" s="71">
        <f>Q19+Q20</f>
        <v>11.2</v>
      </c>
      <c r="R18" s="71">
        <f>R19+R20</f>
        <v>0</v>
      </c>
      <c r="S18" s="26"/>
    </row>
    <row r="19" spans="1:20" ht="18">
      <c r="A19" s="13" t="s">
        <v>100</v>
      </c>
      <c r="B19" s="13">
        <v>1060603310</v>
      </c>
      <c r="C19" s="71">
        <v>75</v>
      </c>
      <c r="D19" s="68"/>
      <c r="E19" s="67">
        <f>C19+D19</f>
        <v>75</v>
      </c>
      <c r="F19" s="67"/>
      <c r="G19" s="71"/>
      <c r="H19" s="69">
        <f>G19+M19</f>
        <v>17.600000000000001</v>
      </c>
      <c r="I19" s="70">
        <f t="shared" si="1"/>
        <v>0.23466666666666669</v>
      </c>
      <c r="J19" s="70">
        <f t="shared" si="4"/>
        <v>0</v>
      </c>
      <c r="K19" s="71">
        <v>37.9</v>
      </c>
      <c r="L19" s="70">
        <f t="shared" si="3"/>
        <v>0.4643799472295515</v>
      </c>
      <c r="M19" s="71">
        <v>17.600000000000001</v>
      </c>
      <c r="N19" s="71">
        <v>29.5</v>
      </c>
      <c r="O19" s="70">
        <f t="shared" si="2"/>
        <v>0.59661016949152545</v>
      </c>
      <c r="P19" s="71"/>
      <c r="Q19" s="71"/>
      <c r="R19" s="71"/>
      <c r="S19" s="26"/>
    </row>
    <row r="20" spans="1:20" ht="18">
      <c r="A20" s="13" t="s">
        <v>101</v>
      </c>
      <c r="B20" s="13">
        <v>1060604310</v>
      </c>
      <c r="C20" s="71">
        <v>28</v>
      </c>
      <c r="D20" s="68"/>
      <c r="E20" s="67">
        <f>C20+D20</f>
        <v>28</v>
      </c>
      <c r="F20" s="67"/>
      <c r="G20" s="71">
        <v>-2.4</v>
      </c>
      <c r="H20" s="69">
        <f>G20+M20</f>
        <v>-0.5</v>
      </c>
      <c r="I20" s="70">
        <f t="shared" si="1"/>
        <v>-1.7857142857142856E-2</v>
      </c>
      <c r="J20" s="70">
        <f t="shared" si="4"/>
        <v>0</v>
      </c>
      <c r="K20" s="71">
        <v>0.6</v>
      </c>
      <c r="L20" s="70">
        <f t="shared" si="3"/>
        <v>-0.83333333333333337</v>
      </c>
      <c r="M20" s="71">
        <v>1.9</v>
      </c>
      <c r="N20" s="71">
        <v>0.3</v>
      </c>
      <c r="O20" s="70">
        <f t="shared" si="2"/>
        <v>6.333333333333333</v>
      </c>
      <c r="P20" s="71">
        <v>12.3</v>
      </c>
      <c r="Q20" s="71">
        <v>11.2</v>
      </c>
      <c r="R20" s="71"/>
      <c r="S20" s="172"/>
      <c r="T20" s="158"/>
    </row>
    <row r="21" spans="1:20" ht="18">
      <c r="A21" s="13" t="s">
        <v>12</v>
      </c>
      <c r="B21" s="13">
        <v>1060103010</v>
      </c>
      <c r="C21" s="71">
        <v>10</v>
      </c>
      <c r="D21" s="68"/>
      <c r="E21" s="67">
        <f>C21+D21</f>
        <v>10</v>
      </c>
      <c r="F21" s="67"/>
      <c r="G21" s="71">
        <v>-0.4</v>
      </c>
      <c r="H21" s="69">
        <f>G21+M21</f>
        <v>-0.4</v>
      </c>
      <c r="I21" s="70">
        <f t="shared" si="1"/>
        <v>-0.04</v>
      </c>
      <c r="J21" s="70">
        <f t="shared" si="4"/>
        <v>0</v>
      </c>
      <c r="K21" s="71">
        <v>-0.6</v>
      </c>
      <c r="L21" s="70">
        <f t="shared" si="3"/>
        <v>0</v>
      </c>
      <c r="M21" s="71"/>
      <c r="N21" s="71">
        <v>-0.2</v>
      </c>
      <c r="O21" s="70">
        <f t="shared" si="2"/>
        <v>0</v>
      </c>
      <c r="P21" s="71">
        <v>2.7</v>
      </c>
      <c r="Q21" s="71">
        <v>2.1</v>
      </c>
      <c r="R21" s="71"/>
      <c r="S21" s="172"/>
      <c r="T21" s="158"/>
    </row>
    <row r="22" spans="1:20" ht="18">
      <c r="A22" s="30" t="s">
        <v>72</v>
      </c>
      <c r="B22" s="30">
        <v>1080402001</v>
      </c>
      <c r="C22" s="72">
        <v>1</v>
      </c>
      <c r="D22" s="73"/>
      <c r="E22" s="65">
        <f>C22+D22</f>
        <v>1</v>
      </c>
      <c r="F22" s="65"/>
      <c r="G22" s="72">
        <v>0.1</v>
      </c>
      <c r="H22" s="75">
        <f>G22+M22</f>
        <v>0.1</v>
      </c>
      <c r="I22" s="66">
        <f t="shared" si="1"/>
        <v>0.1</v>
      </c>
      <c r="J22" s="66">
        <f t="shared" si="4"/>
        <v>0</v>
      </c>
      <c r="K22" s="72">
        <v>0.1</v>
      </c>
      <c r="L22" s="66">
        <f t="shared" si="3"/>
        <v>1</v>
      </c>
      <c r="M22" s="72"/>
      <c r="N22" s="72"/>
      <c r="O22" s="66">
        <f t="shared" si="2"/>
        <v>0</v>
      </c>
      <c r="P22" s="72"/>
      <c r="Q22" s="72"/>
      <c r="R22" s="72"/>
      <c r="S22" s="26"/>
    </row>
    <row r="23" spans="1:20" ht="2.25" hidden="1" customHeight="1">
      <c r="A23" s="30" t="s">
        <v>73</v>
      </c>
      <c r="B23" s="30">
        <v>1090405010</v>
      </c>
      <c r="C23" s="72"/>
      <c r="D23" s="72"/>
      <c r="E23" s="65">
        <f>C23+D23</f>
        <v>0</v>
      </c>
      <c r="F23" s="65"/>
      <c r="G23" s="72"/>
      <c r="H23" s="75">
        <f>G23+M23</f>
        <v>0</v>
      </c>
      <c r="I23" s="66">
        <f t="shared" si="1"/>
        <v>0</v>
      </c>
      <c r="J23" s="66">
        <f t="shared" si="4"/>
        <v>0</v>
      </c>
      <c r="K23" s="72"/>
      <c r="L23" s="66">
        <f t="shared" si="3"/>
        <v>0</v>
      </c>
      <c r="M23" s="72"/>
      <c r="N23" s="72"/>
      <c r="O23" s="66">
        <f t="shared" si="2"/>
        <v>0</v>
      </c>
      <c r="P23" s="72"/>
      <c r="Q23" s="72"/>
      <c r="R23" s="72"/>
      <c r="S23" s="26"/>
    </row>
    <row r="24" spans="1:20" ht="18">
      <c r="A24" s="14" t="s">
        <v>22</v>
      </c>
      <c r="B24" s="32"/>
      <c r="C24" s="86">
        <f t="shared" ref="C24:H24" si="9">C25+C28+C32+C29+C31+C30</f>
        <v>682.5</v>
      </c>
      <c r="D24" s="151">
        <f t="shared" si="9"/>
        <v>0</v>
      </c>
      <c r="E24" s="151">
        <f t="shared" si="9"/>
        <v>682.5</v>
      </c>
      <c r="F24" s="86">
        <f t="shared" si="9"/>
        <v>0</v>
      </c>
      <c r="G24" s="86">
        <f>G25+G28+G32+G29+G31+G30</f>
        <v>15</v>
      </c>
      <c r="H24" s="86">
        <f t="shared" si="9"/>
        <v>23.7</v>
      </c>
      <c r="I24" s="64">
        <f t="shared" si="1"/>
        <v>3.4725274725274723E-2</v>
      </c>
      <c r="J24" s="64">
        <f t="shared" si="4"/>
        <v>0</v>
      </c>
      <c r="K24" s="86">
        <f>K25+K28+K32+K29+K31+K30</f>
        <v>82.5</v>
      </c>
      <c r="L24" s="64">
        <f t="shared" si="3"/>
        <v>0.28727272727272729</v>
      </c>
      <c r="M24" s="86">
        <f>M25+M28+M32+M29+M31+M30</f>
        <v>8.6999999999999993</v>
      </c>
      <c r="N24" s="86">
        <f>N25+N28+N32+N29+N31+N30</f>
        <v>30</v>
      </c>
      <c r="O24" s="64">
        <f t="shared" si="2"/>
        <v>0.28999999999999998</v>
      </c>
      <c r="P24" s="76">
        <f>P25+P28+P31</f>
        <v>0</v>
      </c>
      <c r="Q24" s="76">
        <f>Q25+Q28+Q31</f>
        <v>0</v>
      </c>
      <c r="R24" s="76">
        <f>R25+R28+R31</f>
        <v>0</v>
      </c>
      <c r="S24" s="26"/>
    </row>
    <row r="25" spans="1:20" ht="18">
      <c r="A25" s="9" t="s">
        <v>74</v>
      </c>
      <c r="B25" s="30">
        <v>1110000000</v>
      </c>
      <c r="C25" s="72">
        <f t="shared" ref="C25:H25" si="10">C26+C27</f>
        <v>32</v>
      </c>
      <c r="D25" s="72">
        <f t="shared" si="10"/>
        <v>0</v>
      </c>
      <c r="E25" s="72">
        <f t="shared" si="10"/>
        <v>32</v>
      </c>
      <c r="F25" s="72">
        <f t="shared" si="10"/>
        <v>0</v>
      </c>
      <c r="G25" s="72">
        <f>G26+G27</f>
        <v>0</v>
      </c>
      <c r="H25" s="72">
        <f t="shared" si="10"/>
        <v>8</v>
      </c>
      <c r="I25" s="87">
        <f t="shared" si="1"/>
        <v>0.25</v>
      </c>
      <c r="J25" s="87">
        <f t="shared" si="4"/>
        <v>0</v>
      </c>
      <c r="K25" s="72">
        <f>K26+K27</f>
        <v>14.2</v>
      </c>
      <c r="L25" s="87">
        <f t="shared" si="3"/>
        <v>0.56338028169014087</v>
      </c>
      <c r="M25" s="72">
        <f>M26+M27</f>
        <v>8</v>
      </c>
      <c r="N25" s="72">
        <f>N26+N27</f>
        <v>13.4</v>
      </c>
      <c r="O25" s="87">
        <f t="shared" si="2"/>
        <v>0.59701492537313428</v>
      </c>
      <c r="P25" s="72">
        <f>P26+P27</f>
        <v>0</v>
      </c>
      <c r="Q25" s="72">
        <f>Q26+Q27</f>
        <v>0</v>
      </c>
      <c r="R25" s="72">
        <f>R26+R27</f>
        <v>0</v>
      </c>
      <c r="S25" s="26"/>
    </row>
    <row r="26" spans="1:20" ht="24" customHeight="1">
      <c r="A26" s="28" t="s">
        <v>112</v>
      </c>
      <c r="B26" s="180">
        <v>1110507510</v>
      </c>
      <c r="C26" s="71">
        <v>12</v>
      </c>
      <c r="D26" s="68"/>
      <c r="E26" s="71">
        <f>C26+D26</f>
        <v>12</v>
      </c>
      <c r="F26" s="71"/>
      <c r="G26" s="71"/>
      <c r="H26" s="68">
        <f t="shared" ref="H26:H31" si="11">G26+M26</f>
        <v>0</v>
      </c>
      <c r="I26" s="77">
        <f t="shared" si="1"/>
        <v>0</v>
      </c>
      <c r="J26" s="77">
        <f t="shared" si="4"/>
        <v>0</v>
      </c>
      <c r="K26" s="71">
        <v>6</v>
      </c>
      <c r="L26" s="77">
        <f t="shared" si="3"/>
        <v>0</v>
      </c>
      <c r="M26" s="71"/>
      <c r="N26" s="71">
        <v>6</v>
      </c>
      <c r="O26" s="77">
        <f t="shared" si="2"/>
        <v>0</v>
      </c>
      <c r="P26" s="71"/>
      <c r="Q26" s="71"/>
      <c r="R26" s="71"/>
      <c r="S26" s="26"/>
    </row>
    <row r="27" spans="1:20" ht="18">
      <c r="A27" s="33" t="s">
        <v>23</v>
      </c>
      <c r="B27" s="13">
        <v>1110904510</v>
      </c>
      <c r="C27" s="71">
        <v>20</v>
      </c>
      <c r="D27" s="83"/>
      <c r="E27" s="71">
        <f>C27+D27</f>
        <v>20</v>
      </c>
      <c r="F27" s="71"/>
      <c r="G27" s="71"/>
      <c r="H27" s="68">
        <f t="shared" si="11"/>
        <v>8</v>
      </c>
      <c r="I27" s="77">
        <f t="shared" si="1"/>
        <v>0.4</v>
      </c>
      <c r="J27" s="77">
        <f t="shared" si="4"/>
        <v>0</v>
      </c>
      <c r="K27" s="71">
        <v>8.1999999999999993</v>
      </c>
      <c r="L27" s="77">
        <f t="shared" si="3"/>
        <v>0.97560975609756106</v>
      </c>
      <c r="M27" s="71">
        <v>8</v>
      </c>
      <c r="N27" s="71">
        <v>7.4</v>
      </c>
      <c r="O27" s="77">
        <f t="shared" si="2"/>
        <v>1.0810810810810809</v>
      </c>
      <c r="P27" s="71"/>
      <c r="Q27" s="71"/>
      <c r="R27" s="71"/>
      <c r="S27" s="26"/>
    </row>
    <row r="28" spans="1:20" ht="18">
      <c r="A28" s="9" t="s">
        <v>38</v>
      </c>
      <c r="B28" s="30">
        <v>1130299510</v>
      </c>
      <c r="C28" s="72"/>
      <c r="D28" s="72"/>
      <c r="E28" s="72">
        <f>C28+D28</f>
        <v>0</v>
      </c>
      <c r="F28" s="72"/>
      <c r="G28" s="72">
        <v>15</v>
      </c>
      <c r="H28" s="73">
        <f t="shared" si="11"/>
        <v>15.7</v>
      </c>
      <c r="I28" s="87">
        <f t="shared" si="1"/>
        <v>0</v>
      </c>
      <c r="J28" s="87">
        <f t="shared" si="4"/>
        <v>0</v>
      </c>
      <c r="K28" s="72">
        <v>68.3</v>
      </c>
      <c r="L28" s="87">
        <f t="shared" si="3"/>
        <v>0.22986822840409957</v>
      </c>
      <c r="M28" s="72">
        <v>0.7</v>
      </c>
      <c r="N28" s="72">
        <v>16.600000000000001</v>
      </c>
      <c r="O28" s="87">
        <f t="shared" si="2"/>
        <v>4.2168674698795178E-2</v>
      </c>
      <c r="P28" s="72"/>
      <c r="Q28" s="72"/>
      <c r="R28" s="72"/>
      <c r="S28" s="26"/>
    </row>
    <row r="29" spans="1:20" ht="18">
      <c r="A29" s="9" t="s">
        <v>75</v>
      </c>
      <c r="B29" s="30">
        <v>1140205310</v>
      </c>
      <c r="C29" s="72"/>
      <c r="D29" s="72"/>
      <c r="E29" s="72">
        <f>C29+D29</f>
        <v>0</v>
      </c>
      <c r="F29" s="72"/>
      <c r="G29" s="72"/>
      <c r="H29" s="73">
        <f t="shared" si="11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3"/>
        <v>0</v>
      </c>
      <c r="M29" s="72"/>
      <c r="N29" s="72"/>
      <c r="O29" s="87">
        <f t="shared" si="2"/>
        <v>0</v>
      </c>
      <c r="P29" s="72"/>
      <c r="Q29" s="72"/>
      <c r="R29" s="72"/>
      <c r="S29" s="26"/>
    </row>
    <row r="30" spans="1:20" ht="18">
      <c r="A30" s="9" t="s">
        <v>76</v>
      </c>
      <c r="B30" s="30">
        <v>1140601410</v>
      </c>
      <c r="C30" s="72"/>
      <c r="D30" s="72"/>
      <c r="E30" s="72"/>
      <c r="F30" s="72"/>
      <c r="G30" s="72"/>
      <c r="H30" s="73">
        <f t="shared" si="11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3"/>
        <v>0</v>
      </c>
      <c r="M30" s="72"/>
      <c r="N30" s="72"/>
      <c r="O30" s="87">
        <f t="shared" si="2"/>
        <v>0</v>
      </c>
      <c r="P30" s="72"/>
      <c r="Q30" s="72"/>
      <c r="R30" s="72"/>
      <c r="S30" s="26"/>
    </row>
    <row r="31" spans="1:20" ht="18">
      <c r="A31" s="9" t="s">
        <v>77</v>
      </c>
      <c r="B31" s="30">
        <v>1169005010</v>
      </c>
      <c r="C31" s="72"/>
      <c r="D31" s="72"/>
      <c r="E31" s="73">
        <f>C31+D31</f>
        <v>0</v>
      </c>
      <c r="F31" s="73"/>
      <c r="G31" s="72"/>
      <c r="H31" s="73">
        <f t="shared" si="11"/>
        <v>0</v>
      </c>
      <c r="I31" s="87">
        <f>IF(E31&gt;0,H31/E31,0)</f>
        <v>0</v>
      </c>
      <c r="J31" s="87">
        <f>IF(F31&gt;0,H31/F31,0)</f>
        <v>0</v>
      </c>
      <c r="K31" s="72"/>
      <c r="L31" s="87">
        <f t="shared" si="3"/>
        <v>0</v>
      </c>
      <c r="M31" s="72"/>
      <c r="N31" s="72"/>
      <c r="O31" s="87">
        <f t="shared" si="2"/>
        <v>0</v>
      </c>
      <c r="P31" s="72"/>
      <c r="Q31" s="72"/>
      <c r="R31" s="72"/>
      <c r="S31" s="26"/>
    </row>
    <row r="32" spans="1:20" ht="18">
      <c r="A32" s="9" t="s">
        <v>69</v>
      </c>
      <c r="B32" s="30">
        <v>1170000000</v>
      </c>
      <c r="C32" s="72">
        <f>SUM(C33:C35)</f>
        <v>650.5</v>
      </c>
      <c r="D32" s="72">
        <f t="shared" ref="D32:E32" si="12">SUM(D33:D35)</f>
        <v>0</v>
      </c>
      <c r="E32" s="72">
        <f t="shared" si="12"/>
        <v>650.5</v>
      </c>
      <c r="F32" s="72">
        <f t="shared" ref="F32:R32" si="13">SUM(F33:F34)</f>
        <v>0</v>
      </c>
      <c r="G32" s="72">
        <f t="shared" ref="G32" si="14">SUM(G33:G35)</f>
        <v>0</v>
      </c>
      <c r="H32" s="72">
        <f t="shared" ref="H32" si="15">SUM(H33:H35)</f>
        <v>0</v>
      </c>
      <c r="I32" s="87">
        <f>IF(E32&gt;0,H32/E32,0)</f>
        <v>0</v>
      </c>
      <c r="J32" s="87">
        <f>IF(F32&gt;0,H32/F32,0)</f>
        <v>0</v>
      </c>
      <c r="K32" s="72">
        <f t="shared" ref="K32" si="16">SUM(K33:K35)</f>
        <v>0</v>
      </c>
      <c r="L32" s="87">
        <f t="shared" si="3"/>
        <v>0</v>
      </c>
      <c r="M32" s="72">
        <f t="shared" ref="M32:N32" si="17">SUM(M33:M35)</f>
        <v>0</v>
      </c>
      <c r="N32" s="72">
        <f t="shared" si="17"/>
        <v>0</v>
      </c>
      <c r="O32" s="72">
        <f t="shared" si="13"/>
        <v>0</v>
      </c>
      <c r="P32" s="72">
        <f t="shared" si="13"/>
        <v>0</v>
      </c>
      <c r="Q32" s="72">
        <f>SUM(Q33:Q34)</f>
        <v>0</v>
      </c>
      <c r="R32" s="72">
        <f t="shared" si="13"/>
        <v>0</v>
      </c>
      <c r="S32" s="173"/>
      <c r="T32" s="158"/>
    </row>
    <row r="33" spans="1:19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4"/>
        <v>0</v>
      </c>
      <c r="K33" s="71"/>
      <c r="L33" s="77">
        <f t="shared" si="3"/>
        <v>0</v>
      </c>
      <c r="M33" s="71"/>
      <c r="N33" s="71"/>
      <c r="O33" s="77">
        <f t="shared" ref="O33:O41" si="18">IF(N33&gt;0,M33/N33,0)</f>
        <v>0</v>
      </c>
      <c r="P33" s="77"/>
      <c r="Q33" s="77"/>
      <c r="R33" s="77"/>
      <c r="S33" s="26"/>
    </row>
    <row r="34" spans="1:19" ht="18">
      <c r="A34" s="13" t="s">
        <v>33</v>
      </c>
      <c r="B34" s="13">
        <v>1170505010</v>
      </c>
      <c r="C34" s="71"/>
      <c r="D34" s="68"/>
      <c r="E34" s="71">
        <f>C34+D34</f>
        <v>0</v>
      </c>
      <c r="F34" s="71"/>
      <c r="G34" s="71"/>
      <c r="H34" s="68">
        <f>G34+M34</f>
        <v>0</v>
      </c>
      <c r="I34" s="77">
        <f>IF(E34&gt;0,H34/E34,0)</f>
        <v>0</v>
      </c>
      <c r="J34" s="77">
        <f>IF(F34&gt;0,H34/F34,0)</f>
        <v>0</v>
      </c>
      <c r="K34" s="71"/>
      <c r="L34" s="77">
        <f>IF(K34&gt;0,H34/K34,0)</f>
        <v>0</v>
      </c>
      <c r="M34" s="71"/>
      <c r="N34" s="71"/>
      <c r="O34" s="77">
        <f t="shared" si="18"/>
        <v>0</v>
      </c>
      <c r="P34" s="71"/>
      <c r="Q34" s="71"/>
      <c r="R34" s="71"/>
      <c r="S34" s="26"/>
    </row>
    <row r="35" spans="1:19" ht="18.75">
      <c r="A35" s="186" t="s">
        <v>115</v>
      </c>
      <c r="B35" s="186">
        <v>1171503010</v>
      </c>
      <c r="C35" s="71">
        <v>650.5</v>
      </c>
      <c r="D35" s="68"/>
      <c r="E35" s="71">
        <f>C35+D35</f>
        <v>650.5</v>
      </c>
      <c r="F35" s="71"/>
      <c r="G35" s="71"/>
      <c r="H35" s="68">
        <f>G35+M35</f>
        <v>0</v>
      </c>
      <c r="I35" s="77">
        <f>IF(E35&gt;0,H35/E35,0)</f>
        <v>0</v>
      </c>
      <c r="J35" s="70"/>
      <c r="K35" s="71"/>
      <c r="L35" s="77">
        <f>IF(K35&gt;0,H35/K35,0)</f>
        <v>0</v>
      </c>
      <c r="M35" s="71"/>
      <c r="N35" s="71"/>
      <c r="O35" s="77">
        <f t="shared" si="18"/>
        <v>0</v>
      </c>
      <c r="P35" s="71"/>
      <c r="Q35" s="71"/>
      <c r="R35" s="71"/>
      <c r="S35" s="26"/>
    </row>
    <row r="36" spans="1:19" ht="18">
      <c r="A36" s="9" t="s">
        <v>6</v>
      </c>
      <c r="B36" s="9">
        <v>1000000000</v>
      </c>
      <c r="C36" s="78">
        <f t="shared" ref="C36:H36" si="19">C5+C24</f>
        <v>2459.1</v>
      </c>
      <c r="D36" s="78">
        <f t="shared" si="19"/>
        <v>0</v>
      </c>
      <c r="E36" s="78">
        <f t="shared" si="19"/>
        <v>2459.1</v>
      </c>
      <c r="F36" s="79" t="e">
        <f t="shared" si="19"/>
        <v>#REF!</v>
      </c>
      <c r="G36" s="79">
        <f>G5+G24</f>
        <v>84.9</v>
      </c>
      <c r="H36" s="79">
        <f t="shared" si="19"/>
        <v>278.59999999999997</v>
      </c>
      <c r="I36" s="80">
        <f t="shared" si="1"/>
        <v>0.11329348135496725</v>
      </c>
      <c r="J36" s="80" t="e">
        <f t="shared" si="4"/>
        <v>#REF!</v>
      </c>
      <c r="K36" s="79">
        <f>K5+K24</f>
        <v>315.39999999999998</v>
      </c>
      <c r="L36" s="80">
        <f t="shared" si="3"/>
        <v>0.88332276474318316</v>
      </c>
      <c r="M36" s="79">
        <f>M5+M24</f>
        <v>193.7</v>
      </c>
      <c r="N36" s="79">
        <f>N5+N24</f>
        <v>162.89999999999998</v>
      </c>
      <c r="O36" s="80">
        <f t="shared" si="18"/>
        <v>1.1890730509515042</v>
      </c>
      <c r="P36" s="79">
        <f>P5+P24</f>
        <v>47.3</v>
      </c>
      <c r="Q36" s="79">
        <f>Q5+Q24</f>
        <v>46.4</v>
      </c>
      <c r="R36" s="79">
        <f>R5+R24</f>
        <v>0</v>
      </c>
      <c r="S36" s="26"/>
    </row>
    <row r="37" spans="1:19" ht="18">
      <c r="A37" s="9" t="s">
        <v>92</v>
      </c>
      <c r="B37" s="9"/>
      <c r="C37" s="79">
        <f t="shared" ref="C37:H37" si="20">C36-C10</f>
        <v>1284.3999999999999</v>
      </c>
      <c r="D37" s="78">
        <f t="shared" si="20"/>
        <v>0</v>
      </c>
      <c r="E37" s="78">
        <f t="shared" si="20"/>
        <v>1284.3999999999999</v>
      </c>
      <c r="F37" s="79" t="e">
        <f t="shared" si="20"/>
        <v>#REF!</v>
      </c>
      <c r="G37" s="79">
        <f>G36-G10</f>
        <v>31.5</v>
      </c>
      <c r="H37" s="79">
        <f t="shared" si="20"/>
        <v>165.7</v>
      </c>
      <c r="I37" s="80">
        <f>IF(E37&gt;0,H37/E37,0)</f>
        <v>0.12900965431329806</v>
      </c>
      <c r="J37" s="80" t="e">
        <f>IF(F37&gt;0,H37/F37,0)</f>
        <v>#REF!</v>
      </c>
      <c r="K37" s="79">
        <f>K36-K10</f>
        <v>211.49999999999997</v>
      </c>
      <c r="L37" s="80">
        <f t="shared" si="3"/>
        <v>0.78345153664302603</v>
      </c>
      <c r="M37" s="79">
        <f>M36-M10</f>
        <v>134.19999999999999</v>
      </c>
      <c r="N37" s="79">
        <f>N36-N10</f>
        <v>96.699999999999989</v>
      </c>
      <c r="O37" s="80">
        <f t="shared" si="18"/>
        <v>1.3877973112719753</v>
      </c>
      <c r="P37" s="79"/>
      <c r="Q37" s="79"/>
      <c r="R37" s="79"/>
      <c r="S37" s="26"/>
    </row>
    <row r="38" spans="1:19" ht="18">
      <c r="A38" s="13" t="s">
        <v>36</v>
      </c>
      <c r="B38" s="191">
        <v>2000000000</v>
      </c>
      <c r="C38" s="71">
        <v>6766.4</v>
      </c>
      <c r="D38" s="68">
        <f>3079.8</f>
        <v>3079.8</v>
      </c>
      <c r="E38" s="81">
        <f>C38+D38</f>
        <v>9846.2000000000007</v>
      </c>
      <c r="F38" s="67"/>
      <c r="G38" s="71">
        <v>544</v>
      </c>
      <c r="H38" s="68">
        <f>G38+M38</f>
        <v>818.6</v>
      </c>
      <c r="I38" s="70">
        <f t="shared" si="1"/>
        <v>8.3138672787471307E-2</v>
      </c>
      <c r="J38" s="70">
        <f t="shared" si="4"/>
        <v>0</v>
      </c>
      <c r="K38" s="71">
        <v>678.8</v>
      </c>
      <c r="L38" s="70">
        <f t="shared" si="3"/>
        <v>1.2059516794342959</v>
      </c>
      <c r="M38" s="71">
        <v>274.60000000000002</v>
      </c>
      <c r="N38" s="71">
        <v>227.9</v>
      </c>
      <c r="O38" s="70">
        <f t="shared" si="18"/>
        <v>1.204914436156209</v>
      </c>
      <c r="P38" s="71"/>
      <c r="Q38" s="71"/>
      <c r="R38" s="71"/>
      <c r="S38" s="174"/>
    </row>
    <row r="39" spans="1:19" ht="18.75">
      <c r="A39" s="8" t="s">
        <v>113</v>
      </c>
      <c r="B39" s="190" t="s">
        <v>128</v>
      </c>
      <c r="C39" s="71">
        <v>20</v>
      </c>
      <c r="D39" s="83"/>
      <c r="E39" s="67">
        <f>C39+D39</f>
        <v>20</v>
      </c>
      <c r="F39" s="67"/>
      <c r="G39" s="71">
        <v>9.3000000000000007</v>
      </c>
      <c r="H39" s="68">
        <f>G39+M39</f>
        <v>13.9</v>
      </c>
      <c r="I39" s="70">
        <f>IF(E39&gt;0,H39/E39,0)</f>
        <v>0.69500000000000006</v>
      </c>
      <c r="J39" s="70">
        <f>IF(F39&gt;0,H39/F39,0)</f>
        <v>0</v>
      </c>
      <c r="K39" s="71"/>
      <c r="L39" s="70">
        <f t="shared" si="3"/>
        <v>0</v>
      </c>
      <c r="M39" s="71">
        <v>4.5999999999999996</v>
      </c>
      <c r="N39" s="71"/>
      <c r="O39" s="70">
        <f t="shared" si="18"/>
        <v>0</v>
      </c>
      <c r="P39" s="71"/>
      <c r="Q39" s="71"/>
      <c r="R39" s="71"/>
      <c r="S39" s="26"/>
    </row>
    <row r="40" spans="1:19" ht="18">
      <c r="A40" s="13" t="s">
        <v>46</v>
      </c>
      <c r="B40" s="192" t="s">
        <v>129</v>
      </c>
      <c r="C40" s="71">
        <v>52.6</v>
      </c>
      <c r="D40" s="83"/>
      <c r="E40" s="67">
        <f>C40+D40</f>
        <v>52.6</v>
      </c>
      <c r="F40" s="67"/>
      <c r="G40" s="71">
        <v>22.2</v>
      </c>
      <c r="H40" s="68">
        <f>G40+M40</f>
        <v>51</v>
      </c>
      <c r="I40" s="70">
        <f>IF(E40&gt;0,H40/E40,0)</f>
        <v>0.96958174904942962</v>
      </c>
      <c r="J40" s="70"/>
      <c r="K40" s="71"/>
      <c r="L40" s="70">
        <f t="shared" si="3"/>
        <v>0</v>
      </c>
      <c r="M40" s="71">
        <v>28.8</v>
      </c>
      <c r="N40" s="71"/>
      <c r="O40" s="70">
        <f t="shared" si="18"/>
        <v>0</v>
      </c>
      <c r="P40" s="71"/>
      <c r="Q40" s="71"/>
      <c r="R40" s="71"/>
      <c r="S40" s="26"/>
    </row>
    <row r="41" spans="1:19" ht="18">
      <c r="A41" s="9" t="s">
        <v>2</v>
      </c>
      <c r="B41" s="9">
        <v>0</v>
      </c>
      <c r="C41" s="78">
        <f>C36+C38+C39+C40</f>
        <v>9298.1</v>
      </c>
      <c r="D41" s="78">
        <f>D36+D38+D39+D40</f>
        <v>3079.8</v>
      </c>
      <c r="E41" s="78">
        <f t="shared" ref="E41:H41" si="21">E36+E38+E39+E40</f>
        <v>12377.900000000001</v>
      </c>
      <c r="F41" s="78" t="e">
        <f t="shared" si="21"/>
        <v>#REF!</v>
      </c>
      <c r="G41" s="79">
        <f t="shared" si="21"/>
        <v>660.4</v>
      </c>
      <c r="H41" s="79">
        <f t="shared" si="21"/>
        <v>1162.1000000000001</v>
      </c>
      <c r="I41" s="80">
        <f t="shared" si="1"/>
        <v>9.3885069357483905E-2</v>
      </c>
      <c r="J41" s="80" t="e">
        <f t="shared" si="4"/>
        <v>#REF!</v>
      </c>
      <c r="K41" s="79">
        <f>K36+K38+K39+K40</f>
        <v>994.19999999999993</v>
      </c>
      <c r="L41" s="80">
        <f t="shared" si="3"/>
        <v>1.1688795011064175</v>
      </c>
      <c r="M41" s="79">
        <f t="shared" ref="M41:N41" si="22">M36+M38+M39+M40</f>
        <v>501.70000000000005</v>
      </c>
      <c r="N41" s="79">
        <f t="shared" si="22"/>
        <v>390.79999999999995</v>
      </c>
      <c r="O41" s="80">
        <f t="shared" si="18"/>
        <v>1.2837768679631527</v>
      </c>
      <c r="P41" s="79">
        <f>P36+P38</f>
        <v>47.3</v>
      </c>
      <c r="Q41" s="79">
        <f>Q36+Q38</f>
        <v>46.4</v>
      </c>
      <c r="R41" s="79">
        <f>R36+R38</f>
        <v>0</v>
      </c>
      <c r="S41" s="26"/>
    </row>
  </sheetData>
  <mergeCells count="15">
    <mergeCell ref="A3:A4"/>
    <mergeCell ref="B3:B4"/>
    <mergeCell ref="C3:C4"/>
    <mergeCell ref="E3:E4"/>
    <mergeCell ref="D3:D4"/>
    <mergeCell ref="C1:M1"/>
    <mergeCell ref="B2:R2"/>
    <mergeCell ref="G3:G4"/>
    <mergeCell ref="K3:L3"/>
    <mergeCell ref="H3:J3"/>
    <mergeCell ref="P3:R3"/>
    <mergeCell ref="N3:N4"/>
    <mergeCell ref="F3:F4"/>
    <mergeCell ref="O3:O4"/>
    <mergeCell ref="M3:M4"/>
  </mergeCells>
  <phoneticPr fontId="0" type="noConversion"/>
  <pageMargins left="0.75" right="0.75" top="1" bottom="1" header="0.5" footer="0.5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zoomScaleNormal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Q7" sqref="Q7:Q21"/>
    </sheetView>
  </sheetViews>
  <sheetFormatPr defaultRowHeight="12.75"/>
  <cols>
    <col min="1" max="1" width="40" customWidth="1"/>
    <col min="2" max="2" width="14.5703125" customWidth="1"/>
    <col min="3" max="3" width="13.28515625" customWidth="1"/>
    <col min="4" max="4" width="14" customWidth="1"/>
    <col min="5" max="5" width="14.5703125" customWidth="1"/>
    <col min="6" max="6" width="10.7109375" hidden="1" customWidth="1"/>
    <col min="7" max="7" width="12.140625" customWidth="1"/>
    <col min="8" max="8" width="13.28515625" customWidth="1"/>
    <col min="9" max="9" width="12.28515625" customWidth="1"/>
    <col min="10" max="10" width="0.140625" customWidth="1"/>
    <col min="11" max="11" width="10.42578125" customWidth="1"/>
    <col min="12" max="12" width="13.85546875" customWidth="1"/>
    <col min="13" max="13" width="11" customWidth="1"/>
    <col min="14" max="14" width="9.5703125" customWidth="1"/>
    <col min="15" max="15" width="13.85546875" customWidth="1"/>
    <col min="16" max="16" width="10.5703125" customWidth="1"/>
    <col min="17" max="17" width="10.28515625" customWidth="1"/>
    <col min="18" max="18" width="10.140625" customWidth="1"/>
  </cols>
  <sheetData>
    <row r="1" spans="1:18" ht="15.75">
      <c r="A1" s="26"/>
      <c r="B1" s="48"/>
      <c r="C1" s="199" t="s">
        <v>11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49"/>
      <c r="O1" s="49"/>
      <c r="P1" s="26"/>
      <c r="Q1" s="26"/>
      <c r="R1" s="26"/>
    </row>
    <row r="2" spans="1:18" ht="15.75">
      <c r="A2" s="26"/>
      <c r="B2" s="204" t="s">
        <v>133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18" ht="13.5" customHeight="1">
      <c r="A3" s="193" t="s">
        <v>3</v>
      </c>
      <c r="B3" s="193" t="s">
        <v>4</v>
      </c>
      <c r="C3" s="193" t="s">
        <v>121</v>
      </c>
      <c r="D3" s="193" t="s">
        <v>24</v>
      </c>
      <c r="E3" s="193" t="s">
        <v>120</v>
      </c>
      <c r="F3" s="193" t="s">
        <v>99</v>
      </c>
      <c r="G3" s="193" t="s">
        <v>123</v>
      </c>
      <c r="H3" s="193" t="s">
        <v>119</v>
      </c>
      <c r="I3" s="193"/>
      <c r="J3" s="193"/>
      <c r="K3" s="193" t="s">
        <v>114</v>
      </c>
      <c r="L3" s="193"/>
      <c r="M3" s="193" t="s">
        <v>126</v>
      </c>
      <c r="N3" s="193" t="s">
        <v>127</v>
      </c>
      <c r="O3" s="193" t="s">
        <v>30</v>
      </c>
      <c r="P3" s="193" t="s">
        <v>9</v>
      </c>
      <c r="Q3" s="193"/>
      <c r="R3" s="193"/>
    </row>
    <row r="4" spans="1:18" ht="93.75" customHeight="1">
      <c r="A4" s="203"/>
      <c r="B4" s="203"/>
      <c r="C4" s="193"/>
      <c r="D4" s="193"/>
      <c r="E4" s="193"/>
      <c r="F4" s="193"/>
      <c r="G4" s="193"/>
      <c r="H4" s="188" t="s">
        <v>125</v>
      </c>
      <c r="I4" s="188" t="s">
        <v>10</v>
      </c>
      <c r="J4" s="188" t="s">
        <v>29</v>
      </c>
      <c r="K4" s="188" t="s">
        <v>125</v>
      </c>
      <c r="L4" s="188" t="s">
        <v>30</v>
      </c>
      <c r="M4" s="193"/>
      <c r="N4" s="193"/>
      <c r="O4" s="193"/>
      <c r="P4" s="122" t="s">
        <v>118</v>
      </c>
      <c r="Q4" s="122" t="s">
        <v>124</v>
      </c>
      <c r="R4" s="122" t="s">
        <v>137</v>
      </c>
    </row>
    <row r="5" spans="1:18" ht="19.5" customHeight="1">
      <c r="A5" s="29" t="s">
        <v>21</v>
      </c>
      <c r="B5" s="29"/>
      <c r="C5" s="89">
        <f t="shared" ref="C5:H5" si="0">C6+C15+C17+C22+C23+C10</f>
        <v>1581.2</v>
      </c>
      <c r="D5" s="89">
        <f t="shared" si="0"/>
        <v>0</v>
      </c>
      <c r="E5" s="140">
        <f t="shared" si="0"/>
        <v>1581.2</v>
      </c>
      <c r="F5" s="89" t="e">
        <f t="shared" si="0"/>
        <v>#REF!</v>
      </c>
      <c r="G5" s="89">
        <f t="shared" si="0"/>
        <v>136.80000000000001</v>
      </c>
      <c r="H5" s="89">
        <f t="shared" si="0"/>
        <v>402.29999999999995</v>
      </c>
      <c r="I5" s="90">
        <f t="shared" ref="I5:I41" si="1">IF(E5&gt;0,H5/E5,0)</f>
        <v>0.25442701745509738</v>
      </c>
      <c r="J5" s="90" t="e">
        <f>IF(F5&gt;0,H5/F5,0)</f>
        <v>#REF!</v>
      </c>
      <c r="K5" s="89">
        <f>K6+K15+K17+K22+K23+K10</f>
        <v>434.79999999999995</v>
      </c>
      <c r="L5" s="90">
        <f>IF(K5&gt;0,H5/K5,0)</f>
        <v>0.92525298988040483</v>
      </c>
      <c r="M5" s="89">
        <f>M6+M15+M17+M22+M23+M10</f>
        <v>265.5</v>
      </c>
      <c r="N5" s="89">
        <f>N6+N15+N17+N22+N23+N10</f>
        <v>239.3</v>
      </c>
      <c r="O5" s="90">
        <f t="shared" ref="O5:O33" si="2">IF(N5&gt;0,M5/N5,0)</f>
        <v>1.109486000835771</v>
      </c>
      <c r="P5" s="89">
        <f>P6+P15+P17+P22+P23+P10</f>
        <v>36.200000000000003</v>
      </c>
      <c r="Q5" s="89">
        <f>Q6+Q15+Q17+Q22+Q23+Q10</f>
        <v>93.3</v>
      </c>
      <c r="R5" s="89">
        <f>R6+R15+R17+R22+R23+R10</f>
        <v>0</v>
      </c>
    </row>
    <row r="6" spans="1:18" ht="18">
      <c r="A6" s="9" t="s">
        <v>63</v>
      </c>
      <c r="B6" s="30">
        <v>1010200001</v>
      </c>
      <c r="C6" s="72">
        <f>C7+C8+C9</f>
        <v>661.1</v>
      </c>
      <c r="D6" s="72">
        <f>D7+D8+D9</f>
        <v>0</v>
      </c>
      <c r="E6" s="72">
        <f>E7+E8+E9</f>
        <v>661.1</v>
      </c>
      <c r="F6" s="72" t="e">
        <f>F7+F8+F9+#REF!</f>
        <v>#REF!</v>
      </c>
      <c r="G6" s="72">
        <f>G7+G8+G9</f>
        <v>45.6</v>
      </c>
      <c r="H6" s="72">
        <f>H7+H8+H9</f>
        <v>180.7</v>
      </c>
      <c r="I6" s="87">
        <f t="shared" si="1"/>
        <v>0.27333232491302373</v>
      </c>
      <c r="J6" s="87" t="e">
        <f>IF(F6&gt;0,H6/F6,0)</f>
        <v>#REF!</v>
      </c>
      <c r="K6" s="72">
        <f>K7+K8+K9</f>
        <v>157.69999999999999</v>
      </c>
      <c r="L6" s="87">
        <f t="shared" ref="L6:L41" si="3">IF(K6&gt;0,H6/K6,0)</f>
        <v>1.145846544071021</v>
      </c>
      <c r="M6" s="72">
        <f>M7+M8+M9</f>
        <v>135.1</v>
      </c>
      <c r="N6" s="72">
        <f>N7+N8+N9</f>
        <v>52.5</v>
      </c>
      <c r="O6" s="87">
        <f t="shared" si="2"/>
        <v>2.5733333333333333</v>
      </c>
      <c r="P6" s="72">
        <f>P7+P8+P9</f>
        <v>13.5</v>
      </c>
      <c r="Q6" s="72">
        <f>Q7+Q8+Q9</f>
        <v>74.5</v>
      </c>
      <c r="R6" s="72">
        <f>R7+R8+R9</f>
        <v>0</v>
      </c>
    </row>
    <row r="7" spans="1:18" ht="18" customHeight="1">
      <c r="A7" s="10" t="s">
        <v>44</v>
      </c>
      <c r="B7" s="13">
        <v>1010201001</v>
      </c>
      <c r="C7" s="71">
        <v>661.1</v>
      </c>
      <c r="D7" s="83"/>
      <c r="E7" s="71">
        <f>C7+D7</f>
        <v>661.1</v>
      </c>
      <c r="F7" s="71"/>
      <c r="G7" s="68">
        <v>46</v>
      </c>
      <c r="H7" s="68">
        <f>G7+M7</f>
        <v>181.1</v>
      </c>
      <c r="I7" s="77">
        <f t="shared" si="1"/>
        <v>0.27393737709877475</v>
      </c>
      <c r="J7" s="77">
        <f t="shared" ref="J7:J41" si="4">IF(F7&gt;0,H7/F7,0)</f>
        <v>0</v>
      </c>
      <c r="K7" s="68">
        <v>143.69999999999999</v>
      </c>
      <c r="L7" s="77">
        <f t="shared" si="3"/>
        <v>1.2602644398051497</v>
      </c>
      <c r="M7" s="68">
        <v>135.1</v>
      </c>
      <c r="N7" s="68">
        <v>52.5</v>
      </c>
      <c r="O7" s="77">
        <f t="shared" si="2"/>
        <v>2.5733333333333333</v>
      </c>
      <c r="P7" s="71"/>
      <c r="Q7" s="71">
        <v>61</v>
      </c>
      <c r="R7" s="71"/>
    </row>
    <row r="8" spans="1:18" ht="17.25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4"/>
        <v>0</v>
      </c>
      <c r="K8" s="71"/>
      <c r="L8" s="77">
        <f>IF(K8&gt;0,H8/K8,0)</f>
        <v>0</v>
      </c>
      <c r="M8" s="71"/>
      <c r="N8" s="71"/>
      <c r="O8" s="77">
        <f>IF(N8&gt;0,M8/N8,0)</f>
        <v>0</v>
      </c>
      <c r="P8" s="71"/>
      <c r="Q8" s="71"/>
      <c r="R8" s="71"/>
    </row>
    <row r="9" spans="1:18" ht="17.25" customHeight="1">
      <c r="A9" s="10" t="s">
        <v>42</v>
      </c>
      <c r="B9" s="13">
        <v>1010203001</v>
      </c>
      <c r="C9" s="71"/>
      <c r="D9" s="71"/>
      <c r="E9" s="71">
        <f>C9+D9</f>
        <v>0</v>
      </c>
      <c r="F9" s="71"/>
      <c r="G9" s="71">
        <v>-0.4</v>
      </c>
      <c r="H9" s="68">
        <f>G9+M9</f>
        <v>-0.4</v>
      </c>
      <c r="I9" s="77">
        <f t="shared" si="1"/>
        <v>0</v>
      </c>
      <c r="J9" s="77">
        <f t="shared" si="4"/>
        <v>0</v>
      </c>
      <c r="K9" s="71">
        <v>14</v>
      </c>
      <c r="L9" s="77">
        <f t="shared" si="3"/>
        <v>-2.8571428571428574E-2</v>
      </c>
      <c r="M9" s="71"/>
      <c r="N9" s="71"/>
      <c r="O9" s="77">
        <f t="shared" si="2"/>
        <v>0</v>
      </c>
      <c r="P9" s="71">
        <v>13.5</v>
      </c>
      <c r="Q9" s="71">
        <v>13.5</v>
      </c>
      <c r="R9" s="71"/>
    </row>
    <row r="10" spans="1:18" ht="18" customHeight="1">
      <c r="A10" s="11" t="s">
        <v>48</v>
      </c>
      <c r="B10" s="19">
        <v>1030200001</v>
      </c>
      <c r="C10" s="72">
        <f t="shared" ref="C10" si="5">SUM(C11:C14)</f>
        <v>758.1</v>
      </c>
      <c r="D10" s="72">
        <f t="shared" ref="D10:H10" si="6">SUM(D11:D14)</f>
        <v>0</v>
      </c>
      <c r="E10" s="72">
        <f t="shared" si="6"/>
        <v>758.1</v>
      </c>
      <c r="F10" s="72"/>
      <c r="G10" s="72">
        <f>SUM(G11:G14)</f>
        <v>96.300000000000011</v>
      </c>
      <c r="H10" s="72">
        <f t="shared" si="6"/>
        <v>203.6</v>
      </c>
      <c r="I10" s="66">
        <f t="shared" si="1"/>
        <v>0.26856615222266189</v>
      </c>
      <c r="J10" s="66">
        <f>IF(F10&gt;0,H10/F10,0)</f>
        <v>0</v>
      </c>
      <c r="K10" s="72">
        <f>SUM(K11:K14)</f>
        <v>188.3</v>
      </c>
      <c r="L10" s="66">
        <f t="shared" si="3"/>
        <v>1.0812533191715348</v>
      </c>
      <c r="M10" s="72">
        <f>SUM(M11:M14)</f>
        <v>107.3</v>
      </c>
      <c r="N10" s="72">
        <f>SUM(N11:N14)</f>
        <v>119.89999999999999</v>
      </c>
      <c r="O10" s="66">
        <f t="shared" si="2"/>
        <v>0.89491242702251883</v>
      </c>
      <c r="P10" s="72">
        <f>SUM(P11:P14)</f>
        <v>0</v>
      </c>
      <c r="Q10" s="72">
        <f>SUM(Q11:Q14)</f>
        <v>0</v>
      </c>
      <c r="R10" s="72">
        <f>SUM(R11:R14)</f>
        <v>0</v>
      </c>
    </row>
    <row r="11" spans="1:18" ht="19.5" customHeight="1">
      <c r="A11" s="12" t="s">
        <v>49</v>
      </c>
      <c r="B11" s="12">
        <v>1030223101</v>
      </c>
      <c r="C11" s="71">
        <v>359.1</v>
      </c>
      <c r="D11" s="71"/>
      <c r="E11" s="67">
        <f>C11+D11</f>
        <v>359.1</v>
      </c>
      <c r="F11" s="67"/>
      <c r="G11" s="71">
        <v>50.1</v>
      </c>
      <c r="H11" s="69">
        <f>G11+M11</f>
        <v>104.7</v>
      </c>
      <c r="I11" s="70">
        <f t="shared" si="1"/>
        <v>0.29156223893065997</v>
      </c>
      <c r="J11" s="70"/>
      <c r="K11" s="71">
        <v>90.4</v>
      </c>
      <c r="L11" s="70">
        <f t="shared" si="3"/>
        <v>1.1581858407079646</v>
      </c>
      <c r="M11" s="71">
        <v>54.6</v>
      </c>
      <c r="N11" s="71">
        <v>58.4</v>
      </c>
      <c r="O11" s="70">
        <f t="shared" si="2"/>
        <v>0.93493150684931514</v>
      </c>
      <c r="P11" s="71"/>
      <c r="Q11" s="71"/>
      <c r="R11" s="71"/>
    </row>
    <row r="12" spans="1:18" ht="17.25" customHeight="1">
      <c r="A12" s="12" t="s">
        <v>50</v>
      </c>
      <c r="B12" s="12">
        <v>1030224101</v>
      </c>
      <c r="C12" s="71">
        <v>2.5</v>
      </c>
      <c r="D12" s="71"/>
      <c r="E12" s="67">
        <f>C12+D12</f>
        <v>2.5</v>
      </c>
      <c r="F12" s="67"/>
      <c r="G12" s="71">
        <v>0.2</v>
      </c>
      <c r="H12" s="69">
        <f>G12+M12</f>
        <v>0.4</v>
      </c>
      <c r="I12" s="70">
        <f t="shared" si="1"/>
        <v>0.16</v>
      </c>
      <c r="J12" s="70"/>
      <c r="K12" s="71">
        <v>0.6</v>
      </c>
      <c r="L12" s="70">
        <f t="shared" si="3"/>
        <v>0.66666666666666674</v>
      </c>
      <c r="M12" s="71">
        <v>0.2</v>
      </c>
      <c r="N12" s="71">
        <v>0.4</v>
      </c>
      <c r="O12" s="70">
        <f t="shared" si="2"/>
        <v>0.5</v>
      </c>
      <c r="P12" s="71"/>
      <c r="Q12" s="71"/>
      <c r="R12" s="71"/>
    </row>
    <row r="13" spans="1:18" ht="18" customHeight="1">
      <c r="A13" s="12" t="s">
        <v>90</v>
      </c>
      <c r="B13" s="12">
        <v>1030225101</v>
      </c>
      <c r="C13" s="71">
        <v>443.9</v>
      </c>
      <c r="D13" s="71"/>
      <c r="E13" s="67">
        <f>C13+D13</f>
        <v>443.9</v>
      </c>
      <c r="F13" s="67"/>
      <c r="G13" s="71">
        <v>51.1</v>
      </c>
      <c r="H13" s="69">
        <f>G13+M13</f>
        <v>111.9</v>
      </c>
      <c r="I13" s="70">
        <f t="shared" si="1"/>
        <v>0.25208380265825642</v>
      </c>
      <c r="J13" s="70"/>
      <c r="K13" s="71">
        <v>109.4</v>
      </c>
      <c r="L13" s="70">
        <f t="shared" si="3"/>
        <v>1.0228519195612431</v>
      </c>
      <c r="M13" s="71">
        <v>60.8</v>
      </c>
      <c r="N13" s="71">
        <v>69.900000000000006</v>
      </c>
      <c r="O13" s="70">
        <f t="shared" si="2"/>
        <v>0.86981402002861219</v>
      </c>
      <c r="P13" s="71"/>
      <c r="Q13" s="71"/>
      <c r="R13" s="71"/>
    </row>
    <row r="14" spans="1:18" ht="17.25" customHeight="1">
      <c r="A14" s="12" t="s">
        <v>52</v>
      </c>
      <c r="B14" s="12">
        <v>1030226101</v>
      </c>
      <c r="C14" s="71">
        <v>-47.4</v>
      </c>
      <c r="D14" s="71"/>
      <c r="E14" s="67">
        <f>C14+D14</f>
        <v>-47.4</v>
      </c>
      <c r="F14" s="67"/>
      <c r="G14" s="71">
        <v>-5.0999999999999996</v>
      </c>
      <c r="H14" s="69">
        <f>G14+M14</f>
        <v>-13.4</v>
      </c>
      <c r="I14" s="70">
        <f>H14/E14</f>
        <v>0.28270042194092826</v>
      </c>
      <c r="J14" s="70"/>
      <c r="K14" s="71">
        <v>-12.1</v>
      </c>
      <c r="L14" s="70">
        <f t="shared" si="3"/>
        <v>0</v>
      </c>
      <c r="M14" s="71">
        <v>-8.3000000000000007</v>
      </c>
      <c r="N14" s="71">
        <v>-8.8000000000000007</v>
      </c>
      <c r="O14" s="70">
        <f t="shared" si="2"/>
        <v>0</v>
      </c>
      <c r="P14" s="71"/>
      <c r="Q14" s="71"/>
      <c r="R14" s="71"/>
    </row>
    <row r="15" spans="1:18" ht="18">
      <c r="A15" s="9" t="s">
        <v>70</v>
      </c>
      <c r="B15" s="30">
        <v>1050000000</v>
      </c>
      <c r="C15" s="72">
        <f t="shared" ref="C15" si="7">C16</f>
        <v>0</v>
      </c>
      <c r="D15" s="73">
        <f t="shared" ref="D15:H15" si="8">D16</f>
        <v>0</v>
      </c>
      <c r="E15" s="73">
        <f t="shared" si="8"/>
        <v>0</v>
      </c>
      <c r="F15" s="73">
        <f t="shared" si="8"/>
        <v>0</v>
      </c>
      <c r="G15" s="72">
        <f>G16</f>
        <v>0</v>
      </c>
      <c r="H15" s="73">
        <f t="shared" si="8"/>
        <v>0</v>
      </c>
      <c r="I15" s="87">
        <f t="shared" si="1"/>
        <v>0</v>
      </c>
      <c r="J15" s="87">
        <f t="shared" si="4"/>
        <v>0</v>
      </c>
      <c r="K15" s="72">
        <f>K16</f>
        <v>0</v>
      </c>
      <c r="L15" s="87">
        <f t="shared" si="3"/>
        <v>0</v>
      </c>
      <c r="M15" s="72">
        <f>M16</f>
        <v>0</v>
      </c>
      <c r="N15" s="72">
        <f>N16</f>
        <v>0</v>
      </c>
      <c r="O15" s="87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</row>
    <row r="16" spans="1:18" ht="18">
      <c r="A16" s="13" t="s">
        <v>7</v>
      </c>
      <c r="B16" s="13">
        <v>1050300001</v>
      </c>
      <c r="C16" s="71"/>
      <c r="D16" s="68"/>
      <c r="E16" s="71">
        <f>C16+D16</f>
        <v>0</v>
      </c>
      <c r="F16" s="71"/>
      <c r="G16" s="71"/>
      <c r="H16" s="68">
        <f>G16+M16</f>
        <v>0</v>
      </c>
      <c r="I16" s="77">
        <f t="shared" si="1"/>
        <v>0</v>
      </c>
      <c r="J16" s="77">
        <f t="shared" si="4"/>
        <v>0</v>
      </c>
      <c r="K16" s="71"/>
      <c r="L16" s="77">
        <f t="shared" si="3"/>
        <v>0</v>
      </c>
      <c r="M16" s="71"/>
      <c r="N16" s="71"/>
      <c r="O16" s="77">
        <f t="shared" si="2"/>
        <v>0</v>
      </c>
      <c r="P16" s="71"/>
      <c r="Q16" s="71"/>
      <c r="R16" s="71"/>
    </row>
    <row r="17" spans="1:20" ht="18">
      <c r="A17" s="9" t="s">
        <v>71</v>
      </c>
      <c r="B17" s="30">
        <v>1060000000</v>
      </c>
      <c r="C17" s="72">
        <f t="shared" ref="C17" si="9">C18+C21</f>
        <v>159</v>
      </c>
      <c r="D17" s="73">
        <f t="shared" ref="D17:H17" si="10">D18+D21</f>
        <v>0</v>
      </c>
      <c r="E17" s="73">
        <f t="shared" si="10"/>
        <v>159</v>
      </c>
      <c r="F17" s="73">
        <f t="shared" si="10"/>
        <v>0</v>
      </c>
      <c r="G17" s="72">
        <f>G18+G21</f>
        <v>-5.6</v>
      </c>
      <c r="H17" s="73">
        <f t="shared" si="10"/>
        <v>17.3</v>
      </c>
      <c r="I17" s="87">
        <f t="shared" si="1"/>
        <v>0.10880503144654088</v>
      </c>
      <c r="J17" s="87">
        <f t="shared" si="4"/>
        <v>0</v>
      </c>
      <c r="K17" s="72">
        <f>K18+K21</f>
        <v>86.7</v>
      </c>
      <c r="L17" s="87">
        <f t="shared" si="3"/>
        <v>0.19953863898500576</v>
      </c>
      <c r="M17" s="72">
        <f>M18+M21</f>
        <v>22.9</v>
      </c>
      <c r="N17" s="72">
        <f>N18+N21</f>
        <v>65.400000000000006</v>
      </c>
      <c r="O17" s="87">
        <f t="shared" si="2"/>
        <v>0.35015290519877673</v>
      </c>
      <c r="P17" s="72">
        <f>P18+P21</f>
        <v>22.7</v>
      </c>
      <c r="Q17" s="72">
        <f>Q18+Q21</f>
        <v>18.8</v>
      </c>
      <c r="R17" s="72">
        <f>R18+R21</f>
        <v>0</v>
      </c>
    </row>
    <row r="18" spans="1:20" ht="18">
      <c r="A18" s="13" t="s">
        <v>13</v>
      </c>
      <c r="B18" s="13">
        <v>1060600000</v>
      </c>
      <c r="C18" s="71">
        <f t="shared" ref="C18" si="11">C19+C20</f>
        <v>130</v>
      </c>
      <c r="D18" s="68">
        <f t="shared" ref="D18:H18" si="12">D19+D20</f>
        <v>0</v>
      </c>
      <c r="E18" s="68">
        <f t="shared" si="12"/>
        <v>130</v>
      </c>
      <c r="F18" s="68">
        <f t="shared" si="12"/>
        <v>0</v>
      </c>
      <c r="G18" s="71">
        <f>G19+G20</f>
        <v>-4.5999999999999996</v>
      </c>
      <c r="H18" s="68">
        <f t="shared" si="12"/>
        <v>17.8</v>
      </c>
      <c r="I18" s="77">
        <f t="shared" si="1"/>
        <v>0.13692307692307693</v>
      </c>
      <c r="J18" s="77">
        <f t="shared" si="4"/>
        <v>0</v>
      </c>
      <c r="K18" s="71">
        <f>K19+K20</f>
        <v>82.3</v>
      </c>
      <c r="L18" s="77">
        <f t="shared" si="3"/>
        <v>0.21628189550425275</v>
      </c>
      <c r="M18" s="71">
        <f>M19+M20</f>
        <v>22.4</v>
      </c>
      <c r="N18" s="71">
        <f>N19+N20</f>
        <v>63.300000000000004</v>
      </c>
      <c r="O18" s="77">
        <f t="shared" si="2"/>
        <v>0.35387045813586093</v>
      </c>
      <c r="P18" s="71">
        <f>P19+P20</f>
        <v>16.5</v>
      </c>
      <c r="Q18" s="71">
        <f>Q19+Q20</f>
        <v>14.100000000000001</v>
      </c>
      <c r="R18" s="71">
        <f>R19+R20</f>
        <v>0</v>
      </c>
    </row>
    <row r="19" spans="1:20" ht="18">
      <c r="A19" s="13" t="s">
        <v>100</v>
      </c>
      <c r="B19" s="13">
        <v>1060603310</v>
      </c>
      <c r="C19" s="71">
        <v>99</v>
      </c>
      <c r="D19" s="68"/>
      <c r="E19" s="71">
        <f>C19+D19</f>
        <v>99</v>
      </c>
      <c r="F19" s="71"/>
      <c r="G19" s="71"/>
      <c r="H19" s="68">
        <f>G19+M19</f>
        <v>15.6</v>
      </c>
      <c r="I19" s="77">
        <f t="shared" si="1"/>
        <v>0.15757575757575756</v>
      </c>
      <c r="J19" s="77">
        <f t="shared" si="4"/>
        <v>0</v>
      </c>
      <c r="K19" s="71">
        <v>80.7</v>
      </c>
      <c r="L19" s="77">
        <f t="shared" si="3"/>
        <v>0.19330855018587359</v>
      </c>
      <c r="M19" s="71">
        <v>15.6</v>
      </c>
      <c r="N19" s="71">
        <v>63.1</v>
      </c>
      <c r="O19" s="77">
        <f t="shared" si="2"/>
        <v>0.24722662440570523</v>
      </c>
      <c r="P19" s="71">
        <v>0.3</v>
      </c>
      <c r="Q19" s="71">
        <v>0.3</v>
      </c>
      <c r="R19" s="71"/>
    </row>
    <row r="20" spans="1:20" ht="18">
      <c r="A20" s="13" t="s">
        <v>101</v>
      </c>
      <c r="B20" s="13">
        <v>1060604310</v>
      </c>
      <c r="C20" s="71">
        <v>31</v>
      </c>
      <c r="D20" s="68"/>
      <c r="E20" s="71">
        <f>C20+D20</f>
        <v>31</v>
      </c>
      <c r="F20" s="71"/>
      <c r="G20" s="71">
        <v>-4.5999999999999996</v>
      </c>
      <c r="H20" s="68">
        <f>G20+M20</f>
        <v>2.2000000000000002</v>
      </c>
      <c r="I20" s="77">
        <f t="shared" si="1"/>
        <v>7.0967741935483872E-2</v>
      </c>
      <c r="J20" s="77">
        <f t="shared" si="4"/>
        <v>0</v>
      </c>
      <c r="K20" s="71">
        <v>1.6</v>
      </c>
      <c r="L20" s="77">
        <f t="shared" si="3"/>
        <v>1.375</v>
      </c>
      <c r="M20" s="71">
        <v>6.8</v>
      </c>
      <c r="N20" s="71">
        <v>0.2</v>
      </c>
      <c r="O20" s="77">
        <f t="shared" si="2"/>
        <v>34</v>
      </c>
      <c r="P20" s="71">
        <v>16.2</v>
      </c>
      <c r="Q20" s="71">
        <v>13.8</v>
      </c>
      <c r="R20" s="71"/>
    </row>
    <row r="21" spans="1:20" ht="18">
      <c r="A21" s="13" t="s">
        <v>12</v>
      </c>
      <c r="B21" s="13">
        <v>1060103010</v>
      </c>
      <c r="C21" s="71">
        <v>29</v>
      </c>
      <c r="D21" s="68"/>
      <c r="E21" s="71">
        <f>C21+D21</f>
        <v>29</v>
      </c>
      <c r="F21" s="71"/>
      <c r="G21" s="71">
        <v>-1</v>
      </c>
      <c r="H21" s="68">
        <f>G21+M21</f>
        <v>-0.5</v>
      </c>
      <c r="I21" s="77">
        <f t="shared" si="1"/>
        <v>-1.7241379310344827E-2</v>
      </c>
      <c r="J21" s="77">
        <f t="shared" si="4"/>
        <v>0</v>
      </c>
      <c r="K21" s="71">
        <v>4.4000000000000004</v>
      </c>
      <c r="L21" s="77">
        <f t="shared" si="3"/>
        <v>-0.11363636363636363</v>
      </c>
      <c r="M21" s="71">
        <v>0.5</v>
      </c>
      <c r="N21" s="71">
        <v>2.1</v>
      </c>
      <c r="O21" s="77">
        <f t="shared" si="2"/>
        <v>0.23809523809523808</v>
      </c>
      <c r="P21" s="71">
        <v>6.2</v>
      </c>
      <c r="Q21" s="71">
        <v>4.7</v>
      </c>
      <c r="R21" s="71"/>
      <c r="S21" s="129"/>
      <c r="T21" s="158"/>
    </row>
    <row r="22" spans="1:20" ht="18">
      <c r="A22" s="9" t="s">
        <v>72</v>
      </c>
      <c r="B22" s="30">
        <v>1080402001</v>
      </c>
      <c r="C22" s="72">
        <v>3</v>
      </c>
      <c r="D22" s="73"/>
      <c r="E22" s="72">
        <f>C22+D22</f>
        <v>3</v>
      </c>
      <c r="F22" s="72"/>
      <c r="G22" s="72">
        <v>0.5</v>
      </c>
      <c r="H22" s="73">
        <f>G22+M22</f>
        <v>0.7</v>
      </c>
      <c r="I22" s="87">
        <f t="shared" si="1"/>
        <v>0.23333333333333331</v>
      </c>
      <c r="J22" s="87">
        <f t="shared" si="4"/>
        <v>0</v>
      </c>
      <c r="K22" s="72">
        <v>2.1</v>
      </c>
      <c r="L22" s="87">
        <f t="shared" si="3"/>
        <v>0.33333333333333331</v>
      </c>
      <c r="M22" s="72">
        <v>0.2</v>
      </c>
      <c r="N22" s="72">
        <v>1.5</v>
      </c>
      <c r="O22" s="87">
        <f t="shared" si="2"/>
        <v>0.13333333333333333</v>
      </c>
      <c r="P22" s="72"/>
      <c r="Q22" s="72"/>
      <c r="R22" s="72"/>
    </row>
    <row r="23" spans="1:20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4"/>
        <v>0</v>
      </c>
      <c r="K23" s="72"/>
      <c r="L23" s="87">
        <f t="shared" si="3"/>
        <v>0</v>
      </c>
      <c r="M23" s="72"/>
      <c r="N23" s="72"/>
      <c r="O23" s="87">
        <f t="shared" si="2"/>
        <v>0</v>
      </c>
      <c r="P23" s="72"/>
      <c r="Q23" s="72"/>
      <c r="R23" s="72"/>
    </row>
    <row r="24" spans="1:20" ht="18">
      <c r="A24" s="32" t="s">
        <v>22</v>
      </c>
      <c r="B24" s="32"/>
      <c r="C24" s="86">
        <f t="shared" ref="C24:H24" si="13">C25+C29+C33+C31+C32+C30</f>
        <v>423.6</v>
      </c>
      <c r="D24" s="86">
        <f t="shared" si="13"/>
        <v>-391.6</v>
      </c>
      <c r="E24" s="86">
        <f t="shared" si="13"/>
        <v>32</v>
      </c>
      <c r="F24" s="86">
        <f t="shared" si="13"/>
        <v>0</v>
      </c>
      <c r="G24" s="86">
        <f>G25+G29+G33+G31+G32+G30</f>
        <v>1.3</v>
      </c>
      <c r="H24" s="86">
        <f t="shared" si="13"/>
        <v>2.4000000000000004</v>
      </c>
      <c r="I24" s="90">
        <f t="shared" si="1"/>
        <v>7.5000000000000011E-2</v>
      </c>
      <c r="J24" s="90">
        <f t="shared" si="4"/>
        <v>0</v>
      </c>
      <c r="K24" s="86">
        <f>K25+K29+K33+K31+K32+K30</f>
        <v>8</v>
      </c>
      <c r="L24" s="90">
        <f t="shared" si="3"/>
        <v>0.30000000000000004</v>
      </c>
      <c r="M24" s="86">
        <f>M25+M29+M33+M31+M32+M30</f>
        <v>1.1000000000000001</v>
      </c>
      <c r="N24" s="86">
        <f>N25+N29+N33+N31+N32+N30</f>
        <v>1.9</v>
      </c>
      <c r="O24" s="90">
        <f t="shared" si="2"/>
        <v>0.57894736842105265</v>
      </c>
      <c r="P24" s="76">
        <f>P25+P29+P32</f>
        <v>0</v>
      </c>
      <c r="Q24" s="76">
        <f>Q25+Q29+Q32</f>
        <v>0</v>
      </c>
      <c r="R24" s="76">
        <f>R25+R29+R32</f>
        <v>0</v>
      </c>
    </row>
    <row r="25" spans="1:20" ht="18">
      <c r="A25" s="9" t="s">
        <v>74</v>
      </c>
      <c r="B25" s="30">
        <v>1110000000</v>
      </c>
      <c r="C25" s="72">
        <f t="shared" ref="C25:H25" si="14">C26+C28+C27</f>
        <v>32</v>
      </c>
      <c r="D25" s="72">
        <f t="shared" si="14"/>
        <v>0</v>
      </c>
      <c r="E25" s="72">
        <f t="shared" si="14"/>
        <v>32</v>
      </c>
      <c r="F25" s="72">
        <f t="shared" si="14"/>
        <v>0</v>
      </c>
      <c r="G25" s="72">
        <f>G26+G28+G27</f>
        <v>1.3</v>
      </c>
      <c r="H25" s="72">
        <f t="shared" si="14"/>
        <v>2.4000000000000004</v>
      </c>
      <c r="I25" s="87">
        <f t="shared" si="1"/>
        <v>7.5000000000000011E-2</v>
      </c>
      <c r="J25" s="87">
        <f t="shared" si="4"/>
        <v>0</v>
      </c>
      <c r="K25" s="72">
        <f>K26+K28+K27</f>
        <v>8</v>
      </c>
      <c r="L25" s="87">
        <f t="shared" si="3"/>
        <v>0.30000000000000004</v>
      </c>
      <c r="M25" s="72">
        <f>M26+M28+M27</f>
        <v>1.1000000000000001</v>
      </c>
      <c r="N25" s="72">
        <f>N26+N28+N27</f>
        <v>1.9</v>
      </c>
      <c r="O25" s="87">
        <f t="shared" si="2"/>
        <v>0.57894736842105265</v>
      </c>
      <c r="P25" s="72">
        <f>P26+P28+P27</f>
        <v>0</v>
      </c>
      <c r="Q25" s="72">
        <f>Q26+Q28+Q27</f>
        <v>0</v>
      </c>
      <c r="R25" s="72">
        <f>R26+R28+R27</f>
        <v>0</v>
      </c>
    </row>
    <row r="26" spans="1:20" ht="0.75" customHeight="1">
      <c r="A26" s="13" t="s">
        <v>26</v>
      </c>
      <c r="B26" s="13">
        <v>1110501013</v>
      </c>
      <c r="C26" s="71"/>
      <c r="D26" s="68"/>
      <c r="E26" s="71">
        <f t="shared" ref="E26:E32" si="15">C26+D26</f>
        <v>0</v>
      </c>
      <c r="F26" s="71"/>
      <c r="G26" s="71"/>
      <c r="H26" s="68">
        <f t="shared" ref="H26:H32" si="16">G26+M26</f>
        <v>0</v>
      </c>
      <c r="I26" s="77">
        <f t="shared" si="1"/>
        <v>0</v>
      </c>
      <c r="J26" s="77">
        <f t="shared" si="4"/>
        <v>0</v>
      </c>
      <c r="K26" s="71"/>
      <c r="L26" s="77">
        <f t="shared" si="3"/>
        <v>0</v>
      </c>
      <c r="M26" s="71"/>
      <c r="N26" s="71"/>
      <c r="O26" s="77">
        <f t="shared" si="2"/>
        <v>0</v>
      </c>
      <c r="P26" s="71"/>
      <c r="Q26" s="71"/>
      <c r="R26" s="71"/>
    </row>
    <row r="27" spans="1:20" ht="21" hidden="1" customHeight="1">
      <c r="A27" s="13" t="s">
        <v>27</v>
      </c>
      <c r="B27" s="13">
        <v>1110903510</v>
      </c>
      <c r="C27" s="71"/>
      <c r="D27" s="68"/>
      <c r="E27" s="71">
        <f t="shared" si="15"/>
        <v>0</v>
      </c>
      <c r="F27" s="71"/>
      <c r="G27" s="71"/>
      <c r="H27" s="68">
        <f t="shared" si="16"/>
        <v>0</v>
      </c>
      <c r="I27" s="77">
        <f t="shared" si="1"/>
        <v>0</v>
      </c>
      <c r="J27" s="77">
        <f t="shared" si="4"/>
        <v>0</v>
      </c>
      <c r="K27" s="71"/>
      <c r="L27" s="77">
        <f t="shared" si="3"/>
        <v>0</v>
      </c>
      <c r="M27" s="71"/>
      <c r="N27" s="71"/>
      <c r="O27" s="77">
        <f t="shared" si="2"/>
        <v>0</v>
      </c>
      <c r="P27" s="71"/>
      <c r="Q27" s="71"/>
      <c r="R27" s="71"/>
    </row>
    <row r="28" spans="1:20" ht="22.5" customHeight="1">
      <c r="A28" s="33" t="s">
        <v>23</v>
      </c>
      <c r="B28" s="13">
        <v>1110904510</v>
      </c>
      <c r="C28" s="71">
        <v>32</v>
      </c>
      <c r="D28" s="82"/>
      <c r="E28" s="71">
        <f t="shared" si="15"/>
        <v>32</v>
      </c>
      <c r="F28" s="71"/>
      <c r="G28" s="71">
        <v>1.3</v>
      </c>
      <c r="H28" s="68">
        <f t="shared" si="16"/>
        <v>2.4000000000000004</v>
      </c>
      <c r="I28" s="77">
        <f t="shared" si="1"/>
        <v>7.5000000000000011E-2</v>
      </c>
      <c r="J28" s="77">
        <f t="shared" si="4"/>
        <v>0</v>
      </c>
      <c r="K28" s="71">
        <v>8</v>
      </c>
      <c r="L28" s="77">
        <f t="shared" si="3"/>
        <v>0.30000000000000004</v>
      </c>
      <c r="M28" s="71">
        <v>1.1000000000000001</v>
      </c>
      <c r="N28" s="71">
        <v>1.9</v>
      </c>
      <c r="O28" s="77">
        <f t="shared" si="2"/>
        <v>0.57894736842105265</v>
      </c>
      <c r="P28" s="71"/>
      <c r="Q28" s="71"/>
      <c r="R28" s="71"/>
    </row>
    <row r="29" spans="1:20" ht="18">
      <c r="A29" s="9" t="s">
        <v>38</v>
      </c>
      <c r="B29" s="30">
        <v>1130299510</v>
      </c>
      <c r="C29" s="72"/>
      <c r="D29" s="72"/>
      <c r="E29" s="72">
        <f t="shared" si="15"/>
        <v>0</v>
      </c>
      <c r="F29" s="72"/>
      <c r="G29" s="72"/>
      <c r="H29" s="73">
        <f t="shared" si="16"/>
        <v>0</v>
      </c>
      <c r="I29" s="87">
        <f t="shared" si="1"/>
        <v>0</v>
      </c>
      <c r="J29" s="87">
        <f t="shared" si="4"/>
        <v>0</v>
      </c>
      <c r="K29" s="72"/>
      <c r="L29" s="87">
        <f t="shared" si="3"/>
        <v>0</v>
      </c>
      <c r="M29" s="72"/>
      <c r="N29" s="72"/>
      <c r="O29" s="87">
        <f t="shared" si="2"/>
        <v>0</v>
      </c>
      <c r="P29" s="72"/>
      <c r="Q29" s="72"/>
      <c r="R29" s="72"/>
    </row>
    <row r="30" spans="1:20" ht="18">
      <c r="A30" s="9" t="s">
        <v>45</v>
      </c>
      <c r="B30" s="30">
        <v>1140205310</v>
      </c>
      <c r="C30" s="72"/>
      <c r="D30" s="72"/>
      <c r="E30" s="72">
        <f t="shared" si="15"/>
        <v>0</v>
      </c>
      <c r="F30" s="72"/>
      <c r="G30" s="72"/>
      <c r="H30" s="73">
        <f t="shared" si="16"/>
        <v>0</v>
      </c>
      <c r="I30" s="87">
        <f t="shared" si="1"/>
        <v>0</v>
      </c>
      <c r="J30" s="87"/>
      <c r="K30" s="72"/>
      <c r="L30" s="87">
        <f t="shared" si="3"/>
        <v>0</v>
      </c>
      <c r="M30" s="72"/>
      <c r="N30" s="72"/>
      <c r="O30" s="87">
        <f t="shared" si="2"/>
        <v>0</v>
      </c>
      <c r="P30" s="72"/>
      <c r="Q30" s="72"/>
      <c r="R30" s="72"/>
    </row>
    <row r="31" spans="1:20" ht="18">
      <c r="A31" s="9" t="s">
        <v>78</v>
      </c>
      <c r="B31" s="30">
        <v>1140601410</v>
      </c>
      <c r="C31" s="72"/>
      <c r="D31" s="72"/>
      <c r="E31" s="72">
        <f t="shared" si="15"/>
        <v>0</v>
      </c>
      <c r="F31" s="72"/>
      <c r="G31" s="72"/>
      <c r="H31" s="73">
        <f t="shared" si="16"/>
        <v>0</v>
      </c>
      <c r="I31" s="87">
        <f t="shared" si="1"/>
        <v>0</v>
      </c>
      <c r="J31" s="87">
        <f t="shared" si="4"/>
        <v>0</v>
      </c>
      <c r="K31" s="72"/>
      <c r="L31" s="87">
        <f t="shared" si="3"/>
        <v>0</v>
      </c>
      <c r="M31" s="72"/>
      <c r="N31" s="72"/>
      <c r="O31" s="87">
        <f t="shared" si="2"/>
        <v>0</v>
      </c>
      <c r="P31" s="72"/>
      <c r="Q31" s="72"/>
      <c r="R31" s="72"/>
    </row>
    <row r="32" spans="1:20" ht="18">
      <c r="A32" s="9" t="s">
        <v>77</v>
      </c>
      <c r="B32" s="30">
        <v>1169005010</v>
      </c>
      <c r="C32" s="72"/>
      <c r="D32" s="72"/>
      <c r="E32" s="72">
        <f t="shared" si="15"/>
        <v>0</v>
      </c>
      <c r="F32" s="72"/>
      <c r="G32" s="72"/>
      <c r="H32" s="73">
        <f t="shared" si="16"/>
        <v>0</v>
      </c>
      <c r="I32" s="87">
        <f>IF(E32&gt;0,H32/E32,0)</f>
        <v>0</v>
      </c>
      <c r="J32" s="87">
        <f>IF(F32&gt;0,H32/F32,0)</f>
        <v>0</v>
      </c>
      <c r="K32" s="72"/>
      <c r="L32" s="87">
        <f t="shared" si="3"/>
        <v>0</v>
      </c>
      <c r="M32" s="72"/>
      <c r="N32" s="72"/>
      <c r="O32" s="87">
        <f t="shared" si="2"/>
        <v>0</v>
      </c>
      <c r="P32" s="72"/>
      <c r="Q32" s="72"/>
      <c r="R32" s="72"/>
    </row>
    <row r="33" spans="1:20" ht="18">
      <c r="A33" s="9" t="s">
        <v>69</v>
      </c>
      <c r="B33" s="30">
        <v>1170000000</v>
      </c>
      <c r="C33" s="73">
        <f>SUM(C34:C36)</f>
        <v>391.6</v>
      </c>
      <c r="D33" s="73">
        <f t="shared" ref="D33:E33" si="17">SUM(D34:D36)</f>
        <v>-391.6</v>
      </c>
      <c r="E33" s="73">
        <f t="shared" si="17"/>
        <v>0</v>
      </c>
      <c r="F33" s="73">
        <f t="shared" ref="F33" si="18">SUM(F34:F35)</f>
        <v>0</v>
      </c>
      <c r="G33" s="73">
        <f t="shared" ref="G33" si="19">SUM(G34:G36)</f>
        <v>0</v>
      </c>
      <c r="H33" s="73">
        <f t="shared" ref="H33" si="20">SUM(H34:H36)</f>
        <v>0</v>
      </c>
      <c r="I33" s="87">
        <f>IF(E33&gt;0,H33/E33,0)</f>
        <v>0</v>
      </c>
      <c r="J33" s="87">
        <f>IF(F33&gt;0,H33/F33,0)</f>
        <v>0</v>
      </c>
      <c r="K33" s="73">
        <f t="shared" ref="K33" si="21">SUM(K34:K36)</f>
        <v>0</v>
      </c>
      <c r="L33" s="87">
        <f t="shared" si="3"/>
        <v>0</v>
      </c>
      <c r="M33" s="73">
        <f t="shared" ref="M33:N33" si="22">SUM(M34:M36)</f>
        <v>0</v>
      </c>
      <c r="N33" s="73">
        <f t="shared" si="22"/>
        <v>0</v>
      </c>
      <c r="O33" s="87">
        <f t="shared" si="2"/>
        <v>0</v>
      </c>
      <c r="P33" s="73">
        <f>SUM(P34:P35)</f>
        <v>0</v>
      </c>
      <c r="Q33" s="73">
        <f>SUM(Q34:Q35)</f>
        <v>0</v>
      </c>
      <c r="R33" s="73">
        <f>SUM(R34:R35)</f>
        <v>0</v>
      </c>
    </row>
    <row r="34" spans="1:20" ht="18">
      <c r="A34" s="13" t="s">
        <v>8</v>
      </c>
      <c r="B34" s="13">
        <v>1170103003</v>
      </c>
      <c r="C34" s="71"/>
      <c r="D34" s="71"/>
      <c r="E34" s="71">
        <f>C34+D34</f>
        <v>0</v>
      </c>
      <c r="F34" s="71"/>
      <c r="G34" s="71"/>
      <c r="H34" s="68">
        <f>G34+M34</f>
        <v>0</v>
      </c>
      <c r="I34" s="77">
        <f t="shared" si="1"/>
        <v>0</v>
      </c>
      <c r="J34" s="77">
        <f t="shared" si="4"/>
        <v>0</v>
      </c>
      <c r="K34" s="71"/>
      <c r="L34" s="77">
        <f t="shared" si="3"/>
        <v>0</v>
      </c>
      <c r="M34" s="71"/>
      <c r="N34" s="71"/>
      <c r="O34" s="77">
        <f t="shared" ref="O34:O41" si="23">IF(N34&gt;0,M34/N34,0)</f>
        <v>0</v>
      </c>
      <c r="P34" s="77"/>
      <c r="Q34" s="77"/>
      <c r="R34" s="77"/>
    </row>
    <row r="35" spans="1:20" ht="18">
      <c r="A35" s="13" t="s">
        <v>33</v>
      </c>
      <c r="B35" s="13">
        <v>1170505010</v>
      </c>
      <c r="C35" s="71"/>
      <c r="D35" s="68"/>
      <c r="E35" s="71">
        <f>C35+D35</f>
        <v>0</v>
      </c>
      <c r="F35" s="71"/>
      <c r="G35" s="71"/>
      <c r="H35" s="68">
        <f>G35+M35</f>
        <v>0</v>
      </c>
      <c r="I35" s="77">
        <f>IF(E35&gt;0,H35/E35,0)</f>
        <v>0</v>
      </c>
      <c r="J35" s="77">
        <f>IF(F35&gt;0,H35/F35,0)</f>
        <v>0</v>
      </c>
      <c r="K35" s="71"/>
      <c r="L35" s="77">
        <f>IF(K35&gt;0,H35/K35,0)</f>
        <v>0</v>
      </c>
      <c r="M35" s="71"/>
      <c r="N35" s="71"/>
      <c r="O35" s="77">
        <f t="shared" si="23"/>
        <v>0</v>
      </c>
      <c r="P35" s="71"/>
      <c r="Q35" s="71"/>
      <c r="R35" s="71"/>
    </row>
    <row r="36" spans="1:20" ht="18.75">
      <c r="A36" s="186" t="s">
        <v>115</v>
      </c>
      <c r="B36" s="186">
        <v>1171503010</v>
      </c>
      <c r="C36" s="71">
        <v>391.6</v>
      </c>
      <c r="D36" s="68">
        <v>-391.6</v>
      </c>
      <c r="E36" s="71">
        <f>C36+D36</f>
        <v>0</v>
      </c>
      <c r="F36" s="71"/>
      <c r="G36" s="71"/>
      <c r="H36" s="68">
        <f>G36+M36</f>
        <v>0</v>
      </c>
      <c r="I36" s="77">
        <f>IF(E36&gt;0,H36/E36,0)</f>
        <v>0</v>
      </c>
      <c r="J36" s="77"/>
      <c r="K36" s="71"/>
      <c r="L36" s="77">
        <f>IF(K36&gt;0,H36/K36,0)</f>
        <v>0</v>
      </c>
      <c r="M36" s="71"/>
      <c r="N36" s="71"/>
      <c r="O36" s="77">
        <f t="shared" si="23"/>
        <v>0</v>
      </c>
      <c r="P36" s="71"/>
      <c r="Q36" s="71"/>
      <c r="R36" s="71"/>
    </row>
    <row r="37" spans="1:20" ht="18">
      <c r="A37" s="9" t="s">
        <v>6</v>
      </c>
      <c r="B37" s="9">
        <v>1000000000</v>
      </c>
      <c r="C37" s="79">
        <f t="shared" ref="C37:H37" si="24">C5+C24</f>
        <v>2004.8000000000002</v>
      </c>
      <c r="D37" s="78">
        <f t="shared" si="24"/>
        <v>-391.6</v>
      </c>
      <c r="E37" s="78">
        <f t="shared" si="24"/>
        <v>1613.2</v>
      </c>
      <c r="F37" s="79" t="e">
        <f t="shared" si="24"/>
        <v>#REF!</v>
      </c>
      <c r="G37" s="79">
        <f>G5+G24</f>
        <v>138.10000000000002</v>
      </c>
      <c r="H37" s="79">
        <f t="shared" si="24"/>
        <v>404.69999999999993</v>
      </c>
      <c r="I37" s="91">
        <f t="shared" si="1"/>
        <v>0.25086784031738157</v>
      </c>
      <c r="J37" s="91" t="e">
        <f t="shared" si="4"/>
        <v>#REF!</v>
      </c>
      <c r="K37" s="79">
        <f>K5+K24</f>
        <v>442.79999999999995</v>
      </c>
      <c r="L37" s="91">
        <f t="shared" si="3"/>
        <v>0.91395663956639561</v>
      </c>
      <c r="M37" s="79">
        <f>M5+M24</f>
        <v>266.60000000000002</v>
      </c>
      <c r="N37" s="79">
        <f>N5+N24</f>
        <v>241.20000000000002</v>
      </c>
      <c r="O37" s="91">
        <f t="shared" si="23"/>
        <v>1.1053067993366501</v>
      </c>
      <c r="P37" s="79">
        <f>P5+P24</f>
        <v>36.200000000000003</v>
      </c>
      <c r="Q37" s="79">
        <f>Q5+Q24</f>
        <v>93.3</v>
      </c>
      <c r="R37" s="79">
        <f>R5+R24</f>
        <v>0</v>
      </c>
      <c r="S37" s="160"/>
      <c r="T37" s="158"/>
    </row>
    <row r="38" spans="1:20" ht="18">
      <c r="A38" s="9" t="s">
        <v>92</v>
      </c>
      <c r="B38" s="9"/>
      <c r="C38" s="79">
        <f t="shared" ref="C38:H38" si="25">C37-C10</f>
        <v>1246.7000000000003</v>
      </c>
      <c r="D38" s="78">
        <f t="shared" si="25"/>
        <v>-391.6</v>
      </c>
      <c r="E38" s="78">
        <f t="shared" si="25"/>
        <v>855.1</v>
      </c>
      <c r="F38" s="79" t="e">
        <f t="shared" si="25"/>
        <v>#REF!</v>
      </c>
      <c r="G38" s="79">
        <f>G37-G10</f>
        <v>41.800000000000011</v>
      </c>
      <c r="H38" s="79">
        <f t="shared" si="25"/>
        <v>201.09999999999994</v>
      </c>
      <c r="I38" s="91">
        <f>IF(E38&gt;0,H38/E38,0)</f>
        <v>0.23517717226055423</v>
      </c>
      <c r="J38" s="91" t="e">
        <f>IF(F38&gt;0,H38/F38,0)</f>
        <v>#REF!</v>
      </c>
      <c r="K38" s="79">
        <f>K37-K10</f>
        <v>254.49999999999994</v>
      </c>
      <c r="L38" s="91">
        <f t="shared" si="3"/>
        <v>0.79017681728880151</v>
      </c>
      <c r="M38" s="79">
        <f>M37-M10</f>
        <v>159.30000000000001</v>
      </c>
      <c r="N38" s="79">
        <f>N37-N10</f>
        <v>121.30000000000003</v>
      </c>
      <c r="O38" s="91">
        <f t="shared" si="23"/>
        <v>1.3132728771640558</v>
      </c>
      <c r="P38" s="79"/>
      <c r="Q38" s="79"/>
      <c r="R38" s="79"/>
    </row>
    <row r="39" spans="1:20" ht="18">
      <c r="A39" s="13" t="s">
        <v>25</v>
      </c>
      <c r="B39" s="13">
        <v>2000000000</v>
      </c>
      <c r="C39" s="71">
        <v>4336.8999999999996</v>
      </c>
      <c r="D39" s="83">
        <v>-913.7</v>
      </c>
      <c r="E39" s="71">
        <f>C39+D39</f>
        <v>3423.2</v>
      </c>
      <c r="F39" s="71"/>
      <c r="G39" s="71">
        <v>550.29999999999995</v>
      </c>
      <c r="H39" s="68">
        <f>G39+M39</f>
        <v>828.19999999999993</v>
      </c>
      <c r="I39" s="77">
        <f t="shared" si="1"/>
        <v>0.24193736854405234</v>
      </c>
      <c r="J39" s="77">
        <f t="shared" si="4"/>
        <v>0</v>
      </c>
      <c r="K39" s="71">
        <v>628.1</v>
      </c>
      <c r="L39" s="77">
        <f t="shared" si="3"/>
        <v>1.3185798439738894</v>
      </c>
      <c r="M39" s="71">
        <v>277.89999999999998</v>
      </c>
      <c r="N39" s="71">
        <v>211.1</v>
      </c>
      <c r="O39" s="77">
        <f t="shared" si="23"/>
        <v>1.3164377072477498</v>
      </c>
      <c r="P39" s="71"/>
      <c r="Q39" s="71"/>
      <c r="R39" s="71"/>
      <c r="S39" s="175"/>
    </row>
    <row r="40" spans="1:20" ht="18">
      <c r="A40" s="13" t="s">
        <v>47</v>
      </c>
      <c r="B40" s="34" t="s">
        <v>37</v>
      </c>
      <c r="C40" s="71"/>
      <c r="D40" s="82"/>
      <c r="E40" s="71">
        <f>C40+D40</f>
        <v>0</v>
      </c>
      <c r="F40" s="71"/>
      <c r="G40" s="71"/>
      <c r="H40" s="68">
        <f>G40+M40</f>
        <v>0</v>
      </c>
      <c r="I40" s="77">
        <f t="shared" si="1"/>
        <v>0</v>
      </c>
      <c r="J40" s="77"/>
      <c r="K40" s="71"/>
      <c r="L40" s="77">
        <f t="shared" si="3"/>
        <v>0</v>
      </c>
      <c r="M40" s="71"/>
      <c r="N40" s="71"/>
      <c r="O40" s="77">
        <f t="shared" si="23"/>
        <v>0</v>
      </c>
      <c r="P40" s="71"/>
      <c r="Q40" s="71"/>
      <c r="R40" s="71"/>
    </row>
    <row r="41" spans="1:20" ht="18">
      <c r="A41" s="9" t="s">
        <v>2</v>
      </c>
      <c r="B41" s="9">
        <v>0</v>
      </c>
      <c r="C41" s="88">
        <f>C37+C39+C40</f>
        <v>6341.7</v>
      </c>
      <c r="D41" s="78">
        <f>D37+D39+D40</f>
        <v>-1305.3000000000002</v>
      </c>
      <c r="E41" s="78">
        <f>E37+E39+E40</f>
        <v>5036.3999999999996</v>
      </c>
      <c r="F41" s="88" t="e">
        <f>F37+F39</f>
        <v>#REF!</v>
      </c>
      <c r="G41" s="79">
        <f>G37+G39+G40</f>
        <v>688.4</v>
      </c>
      <c r="H41" s="79">
        <f>H37+H39+H40</f>
        <v>1232.8999999999999</v>
      </c>
      <c r="I41" s="91">
        <f t="shared" si="1"/>
        <v>0.24479787149551266</v>
      </c>
      <c r="J41" s="91" t="e">
        <f t="shared" si="4"/>
        <v>#REF!</v>
      </c>
      <c r="K41" s="79">
        <f>K37+K39+K40</f>
        <v>1070.9000000000001</v>
      </c>
      <c r="L41" s="91">
        <f t="shared" si="3"/>
        <v>1.1512746288168827</v>
      </c>
      <c r="M41" s="79">
        <f>M37+M39+M40</f>
        <v>544.5</v>
      </c>
      <c r="N41" s="79">
        <f>N37+N39+N40</f>
        <v>452.3</v>
      </c>
      <c r="O41" s="91">
        <f t="shared" si="23"/>
        <v>1.2038470042007516</v>
      </c>
      <c r="P41" s="92">
        <f>P37+P39</f>
        <v>36.200000000000003</v>
      </c>
      <c r="Q41" s="79">
        <f>Q37+Q39</f>
        <v>93.3</v>
      </c>
      <c r="R41" s="79">
        <f>R37+R39</f>
        <v>0</v>
      </c>
    </row>
    <row r="42" spans="1:20" ht="18">
      <c r="I42" s="154"/>
    </row>
  </sheetData>
  <mergeCells count="15"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</mergeCells>
  <phoneticPr fontId="0" type="noConversion"/>
  <pageMargins left="0.75" right="0.75" top="1" bottom="1" header="0.5" footer="0.5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zoomScaleNormal="100" workbookViewId="0">
      <pane xSplit="2" ySplit="4" topLeftCell="D5" activePane="bottomRight" state="frozen"/>
      <selection pane="topRight" activeCell="D1" sqref="D1"/>
      <selection pane="bottomLeft" activeCell="A5" sqref="A5"/>
      <selection pane="bottomRight" activeCell="Q7" sqref="Q7:Q21"/>
    </sheetView>
  </sheetViews>
  <sheetFormatPr defaultRowHeight="12.75"/>
  <cols>
    <col min="1" max="1" width="41.42578125" customWidth="1"/>
    <col min="2" max="2" width="14.85546875" customWidth="1"/>
    <col min="3" max="3" width="14.7109375" customWidth="1"/>
    <col min="4" max="4" width="13" customWidth="1"/>
    <col min="5" max="5" width="15.140625" customWidth="1"/>
    <col min="6" max="6" width="0.140625" hidden="1" customWidth="1"/>
    <col min="7" max="7" width="13.7109375" customWidth="1"/>
    <col min="8" max="8" width="14.5703125" customWidth="1"/>
    <col min="9" max="9" width="12.42578125" customWidth="1"/>
    <col min="10" max="10" width="9.85546875" hidden="1" customWidth="1"/>
    <col min="11" max="12" width="13.42578125" customWidth="1"/>
    <col min="13" max="13" width="11" customWidth="1"/>
    <col min="14" max="14" width="11.7109375" customWidth="1"/>
    <col min="15" max="15" width="14.28515625" customWidth="1"/>
    <col min="16" max="16" width="10.5703125" customWidth="1"/>
    <col min="17" max="18" width="9.85546875" customWidth="1"/>
    <col min="19" max="19" width="9.140625" hidden="1" customWidth="1"/>
    <col min="20" max="20" width="10.28515625" bestFit="1" customWidth="1"/>
  </cols>
  <sheetData>
    <row r="1" spans="1:20" ht="15.75">
      <c r="A1" s="26"/>
      <c r="B1" s="48"/>
      <c r="C1" s="199" t="s">
        <v>11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49"/>
      <c r="O1" s="49"/>
      <c r="P1" s="26"/>
      <c r="Q1" s="26"/>
      <c r="R1" s="26"/>
    </row>
    <row r="2" spans="1:20" ht="15.75">
      <c r="A2" s="26"/>
      <c r="B2" s="204" t="s">
        <v>134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20" ht="13.5" customHeight="1">
      <c r="A3" s="193" t="s">
        <v>3</v>
      </c>
      <c r="B3" s="193" t="s">
        <v>4</v>
      </c>
      <c r="C3" s="193" t="s">
        <v>121</v>
      </c>
      <c r="D3" s="193" t="s">
        <v>24</v>
      </c>
      <c r="E3" s="193" t="s">
        <v>120</v>
      </c>
      <c r="F3" s="193" t="s">
        <v>99</v>
      </c>
      <c r="G3" s="193" t="s">
        <v>123</v>
      </c>
      <c r="H3" s="193" t="s">
        <v>119</v>
      </c>
      <c r="I3" s="193"/>
      <c r="J3" s="193"/>
      <c r="K3" s="193" t="s">
        <v>114</v>
      </c>
      <c r="L3" s="193"/>
      <c r="M3" s="193" t="s">
        <v>126</v>
      </c>
      <c r="N3" s="193" t="s">
        <v>127</v>
      </c>
      <c r="O3" s="193" t="s">
        <v>30</v>
      </c>
      <c r="P3" s="193" t="s">
        <v>9</v>
      </c>
      <c r="Q3" s="193"/>
      <c r="R3" s="193"/>
    </row>
    <row r="4" spans="1:20" ht="93.75" customHeight="1">
      <c r="A4" s="203"/>
      <c r="B4" s="203"/>
      <c r="C4" s="193"/>
      <c r="D4" s="193"/>
      <c r="E4" s="193"/>
      <c r="F4" s="193"/>
      <c r="G4" s="193"/>
      <c r="H4" s="188" t="s">
        <v>125</v>
      </c>
      <c r="I4" s="188" t="s">
        <v>10</v>
      </c>
      <c r="J4" s="188" t="s">
        <v>29</v>
      </c>
      <c r="K4" s="188" t="s">
        <v>125</v>
      </c>
      <c r="L4" s="188" t="s">
        <v>30</v>
      </c>
      <c r="M4" s="193"/>
      <c r="N4" s="193"/>
      <c r="O4" s="193"/>
      <c r="P4" s="122" t="s">
        <v>118</v>
      </c>
      <c r="Q4" s="122" t="s">
        <v>124</v>
      </c>
      <c r="R4" s="122" t="s">
        <v>137</v>
      </c>
    </row>
    <row r="5" spans="1:20" ht="17.25" customHeight="1">
      <c r="A5" s="29" t="s">
        <v>21</v>
      </c>
      <c r="B5" s="29"/>
      <c r="C5" s="89">
        <f t="shared" ref="C5:H5" si="0">C6+C15+C17+C22+C23+C10</f>
        <v>1986.5</v>
      </c>
      <c r="D5" s="89">
        <f t="shared" si="0"/>
        <v>0</v>
      </c>
      <c r="E5" s="89">
        <f t="shared" si="0"/>
        <v>1986.5</v>
      </c>
      <c r="F5" s="89">
        <f t="shared" si="0"/>
        <v>0</v>
      </c>
      <c r="G5" s="89">
        <f t="shared" si="0"/>
        <v>106.9</v>
      </c>
      <c r="H5" s="89">
        <f t="shared" si="0"/>
        <v>339.5</v>
      </c>
      <c r="I5" s="90">
        <f t="shared" ref="I5:I41" si="1">IF(E5&gt;0,H5/E5,0)</f>
        <v>0.1709035992952429</v>
      </c>
      <c r="J5" s="90">
        <f>IF(F5&gt;0,H5/F5,0)</f>
        <v>0</v>
      </c>
      <c r="K5" s="89">
        <f>K6+K15+K17+K22+K23+K10</f>
        <v>478.90000000000003</v>
      </c>
      <c r="L5" s="90">
        <f>IF(K5&gt;0,H5/K5,0)</f>
        <v>0.70891626644393402</v>
      </c>
      <c r="M5" s="89">
        <f>M6+M15+M17+M22+M23+M10</f>
        <v>232.59999999999997</v>
      </c>
      <c r="N5" s="89">
        <f>N6+N15+N17+N22+N23+N10</f>
        <v>277.10000000000002</v>
      </c>
      <c r="O5" s="90">
        <f t="shared" ref="O5:O41" si="2">IF(N5&gt;0,M5/N5,0)</f>
        <v>0.83940815590039675</v>
      </c>
      <c r="P5" s="89">
        <f>P6+P15+P17+P22+P23+P10</f>
        <v>53.7</v>
      </c>
      <c r="Q5" s="89">
        <f>Q6+Q15+Q17+Q22+Q23+Q10</f>
        <v>55.5</v>
      </c>
      <c r="R5" s="89">
        <f>R6+R15+R17+R22+R23+R10</f>
        <v>0</v>
      </c>
      <c r="T5" s="26"/>
    </row>
    <row r="6" spans="1:20" ht="18">
      <c r="A6" s="9" t="s">
        <v>63</v>
      </c>
      <c r="B6" s="30">
        <v>1010200001</v>
      </c>
      <c r="C6" s="72">
        <f t="shared" ref="C6:H6" si="3">C7+C8+C9</f>
        <v>990.6</v>
      </c>
      <c r="D6" s="72">
        <f t="shared" si="3"/>
        <v>0</v>
      </c>
      <c r="E6" s="72">
        <f t="shared" si="3"/>
        <v>990.6</v>
      </c>
      <c r="F6" s="72">
        <f t="shared" si="3"/>
        <v>0</v>
      </c>
      <c r="G6" s="72">
        <f t="shared" si="3"/>
        <v>28.9</v>
      </c>
      <c r="H6" s="72">
        <f t="shared" si="3"/>
        <v>154.6</v>
      </c>
      <c r="I6" s="87">
        <f t="shared" si="1"/>
        <v>0.15606703008277811</v>
      </c>
      <c r="J6" s="87">
        <f>IF(F6&gt;0,H6/F6,0)</f>
        <v>0</v>
      </c>
      <c r="K6" s="93">
        <f>SUM(K7:K9)</f>
        <v>195.4</v>
      </c>
      <c r="L6" s="87">
        <f t="shared" ref="L6:L40" si="4">IF(K6&gt;0,H6/K6,0)</f>
        <v>0.79119754350051175</v>
      </c>
      <c r="M6" s="72">
        <f>M7+M8+M9</f>
        <v>125.7</v>
      </c>
      <c r="N6" s="72">
        <f>N7+N8+N9</f>
        <v>71.7</v>
      </c>
      <c r="O6" s="87">
        <f t="shared" si="2"/>
        <v>1.7531380753138075</v>
      </c>
      <c r="P6" s="72">
        <f>P7+P8+P9</f>
        <v>8.8000000000000007</v>
      </c>
      <c r="Q6" s="72">
        <f>Q7+Q8+Q9</f>
        <v>18</v>
      </c>
      <c r="R6" s="72">
        <f>R7+R8+R9</f>
        <v>0</v>
      </c>
      <c r="T6" s="26"/>
    </row>
    <row r="7" spans="1:20" ht="21" customHeight="1">
      <c r="A7" s="10" t="s">
        <v>44</v>
      </c>
      <c r="B7" s="13">
        <v>1010201001</v>
      </c>
      <c r="C7" s="71">
        <v>990.6</v>
      </c>
      <c r="D7" s="83"/>
      <c r="E7" s="71">
        <f>C7+D7</f>
        <v>990.6</v>
      </c>
      <c r="F7" s="71"/>
      <c r="G7" s="68">
        <v>29.5</v>
      </c>
      <c r="H7" s="68">
        <f>G7+M7</f>
        <v>155.19999999999999</v>
      </c>
      <c r="I7" s="77">
        <f t="shared" si="1"/>
        <v>0.15667272360185744</v>
      </c>
      <c r="J7" s="77">
        <f t="shared" ref="J7:J38" si="5">IF(F7&gt;0,H7/F7,0)</f>
        <v>0</v>
      </c>
      <c r="K7" s="68">
        <v>195.4</v>
      </c>
      <c r="L7" s="77">
        <f t="shared" si="4"/>
        <v>0.79426816786079824</v>
      </c>
      <c r="M7" s="68">
        <v>125.7</v>
      </c>
      <c r="N7" s="68">
        <v>71.7</v>
      </c>
      <c r="O7" s="77">
        <f t="shared" si="2"/>
        <v>1.7531380753138075</v>
      </c>
      <c r="P7" s="71">
        <v>8.8000000000000007</v>
      </c>
      <c r="Q7" s="71">
        <v>18</v>
      </c>
      <c r="R7" s="71"/>
      <c r="T7" s="172"/>
    </row>
    <row r="8" spans="1:20" ht="18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5"/>
        <v>0</v>
      </c>
      <c r="K8" s="71"/>
      <c r="L8" s="77">
        <f>IF(K8&gt;0,H8/K8,0)</f>
        <v>0</v>
      </c>
      <c r="M8" s="71"/>
      <c r="N8" s="71"/>
      <c r="O8" s="77">
        <f t="shared" si="2"/>
        <v>0</v>
      </c>
      <c r="P8" s="71"/>
      <c r="Q8" s="71"/>
      <c r="R8" s="71"/>
      <c r="T8" s="26"/>
    </row>
    <row r="9" spans="1:20" ht="20.25" customHeight="1">
      <c r="A9" s="10" t="s">
        <v>42</v>
      </c>
      <c r="B9" s="13">
        <v>1010203001</v>
      </c>
      <c r="C9" s="71"/>
      <c r="D9" s="71"/>
      <c r="E9" s="71">
        <f>C9+D9</f>
        <v>0</v>
      </c>
      <c r="F9" s="71"/>
      <c r="G9" s="71">
        <v>-0.6</v>
      </c>
      <c r="H9" s="68">
        <f>G9+M9</f>
        <v>-0.6</v>
      </c>
      <c r="I9" s="77">
        <f t="shared" si="1"/>
        <v>0</v>
      </c>
      <c r="J9" s="77">
        <f t="shared" si="5"/>
        <v>0</v>
      </c>
      <c r="K9" s="71"/>
      <c r="L9" s="77">
        <f t="shared" si="4"/>
        <v>0</v>
      </c>
      <c r="M9" s="71"/>
      <c r="N9" s="71"/>
      <c r="O9" s="77">
        <f t="shared" si="2"/>
        <v>0</v>
      </c>
      <c r="P9" s="71"/>
      <c r="Q9" s="71"/>
      <c r="R9" s="71"/>
      <c r="T9" s="26"/>
    </row>
    <row r="10" spans="1:20" ht="16.5" customHeight="1">
      <c r="A10" s="11" t="s">
        <v>48</v>
      </c>
      <c r="B10" s="19">
        <v>1030200001</v>
      </c>
      <c r="C10" s="72">
        <f t="shared" ref="C10" si="6">SUM(C11:C14)</f>
        <v>652.40000000000009</v>
      </c>
      <c r="D10" s="72">
        <f t="shared" ref="D10:H10" si="7">SUM(D11:D14)</f>
        <v>0</v>
      </c>
      <c r="E10" s="72">
        <f t="shared" si="7"/>
        <v>652.40000000000009</v>
      </c>
      <c r="F10" s="72"/>
      <c r="G10" s="72">
        <f>SUM(G11:G14)</f>
        <v>82.9</v>
      </c>
      <c r="H10" s="72">
        <f t="shared" si="7"/>
        <v>175.3</v>
      </c>
      <c r="I10" s="66">
        <f t="shared" si="1"/>
        <v>0.2687001839362354</v>
      </c>
      <c r="J10" s="66">
        <f>IF(F10&gt;0,H10/F10,0)</f>
        <v>0</v>
      </c>
      <c r="K10" s="72">
        <f>SUM(K11:K14)</f>
        <v>166.60000000000002</v>
      </c>
      <c r="L10" s="66">
        <f t="shared" si="4"/>
        <v>1.0522208883553421</v>
      </c>
      <c r="M10" s="72">
        <f>SUM(M11:M14)</f>
        <v>92.399999999999991</v>
      </c>
      <c r="N10" s="72">
        <f>SUM(N11:N14)</f>
        <v>106.10000000000001</v>
      </c>
      <c r="O10" s="66">
        <f t="shared" si="2"/>
        <v>0.8708765315739867</v>
      </c>
      <c r="P10" s="72">
        <f>SUM(P11:P14)</f>
        <v>0</v>
      </c>
      <c r="Q10" s="72">
        <f>SUM(Q11:Q14)</f>
        <v>0</v>
      </c>
      <c r="R10" s="72">
        <f>SUM(R11:R14)</f>
        <v>0</v>
      </c>
      <c r="T10" s="26"/>
    </row>
    <row r="11" spans="1:20" ht="20.25" customHeight="1">
      <c r="A11" s="12" t="s">
        <v>49</v>
      </c>
      <c r="B11" s="12">
        <v>1030223101</v>
      </c>
      <c r="C11" s="71">
        <v>309</v>
      </c>
      <c r="D11" s="71"/>
      <c r="E11" s="67">
        <f>C11+D11</f>
        <v>309</v>
      </c>
      <c r="F11" s="67"/>
      <c r="G11" s="71">
        <v>43.2</v>
      </c>
      <c r="H11" s="69">
        <f>G11+M11</f>
        <v>90.2</v>
      </c>
      <c r="I11" s="70">
        <f t="shared" si="1"/>
        <v>0.29190938511326864</v>
      </c>
      <c r="J11" s="70">
        <f>IF(F11&gt;0,H11/F11,0)</f>
        <v>0</v>
      </c>
      <c r="K11" s="71">
        <v>80</v>
      </c>
      <c r="L11" s="70">
        <f t="shared" si="4"/>
        <v>1.1274999999999999</v>
      </c>
      <c r="M11" s="71">
        <v>47</v>
      </c>
      <c r="N11" s="71">
        <v>51.7</v>
      </c>
      <c r="O11" s="70">
        <f t="shared" si="2"/>
        <v>0.90909090909090906</v>
      </c>
      <c r="P11" s="71"/>
      <c r="Q11" s="71"/>
      <c r="R11" s="71"/>
      <c r="T11" s="26"/>
    </row>
    <row r="12" spans="1:20" ht="18" customHeight="1">
      <c r="A12" s="12" t="s">
        <v>50</v>
      </c>
      <c r="B12" s="12">
        <v>1030224101</v>
      </c>
      <c r="C12" s="71">
        <v>2.2000000000000002</v>
      </c>
      <c r="D12" s="71"/>
      <c r="E12" s="67">
        <f>C12+D12</f>
        <v>2.2000000000000002</v>
      </c>
      <c r="F12" s="67"/>
      <c r="G12" s="71">
        <v>0.1</v>
      </c>
      <c r="H12" s="69">
        <f>G12+M12</f>
        <v>0.30000000000000004</v>
      </c>
      <c r="I12" s="70">
        <f t="shared" si="1"/>
        <v>0.13636363636363638</v>
      </c>
      <c r="J12" s="70">
        <f>IF(F12&gt;0,H12/F12,0)</f>
        <v>0</v>
      </c>
      <c r="K12" s="71">
        <v>0.5</v>
      </c>
      <c r="L12" s="70">
        <f t="shared" si="4"/>
        <v>0.60000000000000009</v>
      </c>
      <c r="M12" s="71">
        <v>0.2</v>
      </c>
      <c r="N12" s="71">
        <v>0.3</v>
      </c>
      <c r="O12" s="70">
        <f t="shared" si="2"/>
        <v>0.66666666666666674</v>
      </c>
      <c r="P12" s="71"/>
      <c r="Q12" s="71"/>
      <c r="R12" s="71"/>
      <c r="T12" s="26"/>
    </row>
    <row r="13" spans="1:20" ht="18" customHeight="1">
      <c r="A13" s="12" t="s">
        <v>51</v>
      </c>
      <c r="B13" s="12">
        <v>1030225101</v>
      </c>
      <c r="C13" s="71">
        <v>382</v>
      </c>
      <c r="D13" s="71"/>
      <c r="E13" s="67">
        <f>C13+D13</f>
        <v>382</v>
      </c>
      <c r="F13" s="67"/>
      <c r="G13" s="71">
        <v>44</v>
      </c>
      <c r="H13" s="69">
        <f>G13+M13</f>
        <v>96.4</v>
      </c>
      <c r="I13" s="70">
        <f t="shared" si="1"/>
        <v>0.25235602094240839</v>
      </c>
      <c r="J13" s="70">
        <f>IF(F13&gt;0,H13/F13,0)</f>
        <v>0</v>
      </c>
      <c r="K13" s="71">
        <v>96.8</v>
      </c>
      <c r="L13" s="70">
        <f t="shared" si="4"/>
        <v>0.99586776859504145</v>
      </c>
      <c r="M13" s="71">
        <v>52.4</v>
      </c>
      <c r="N13" s="71">
        <v>61.9</v>
      </c>
      <c r="O13" s="70">
        <f t="shared" si="2"/>
        <v>0.84652665589660747</v>
      </c>
      <c r="P13" s="71"/>
      <c r="Q13" s="71"/>
      <c r="R13" s="71"/>
      <c r="T13" s="26"/>
    </row>
    <row r="14" spans="1:20" ht="19.5" customHeight="1">
      <c r="A14" s="12" t="s">
        <v>52</v>
      </c>
      <c r="B14" s="12">
        <v>1030226101</v>
      </c>
      <c r="C14" s="71">
        <v>-40.799999999999997</v>
      </c>
      <c r="D14" s="71"/>
      <c r="E14" s="67">
        <f>C14+D14</f>
        <v>-40.799999999999997</v>
      </c>
      <c r="F14" s="67"/>
      <c r="G14" s="71">
        <v>-4.4000000000000004</v>
      </c>
      <c r="H14" s="69">
        <f>G14+M14</f>
        <v>-11.600000000000001</v>
      </c>
      <c r="I14" s="70">
        <f t="shared" si="1"/>
        <v>0</v>
      </c>
      <c r="J14" s="70">
        <f>IF(F14&gt;0,H14/F14,0)</f>
        <v>0</v>
      </c>
      <c r="K14" s="71">
        <v>-10.7</v>
      </c>
      <c r="L14" s="70">
        <f t="shared" si="4"/>
        <v>0</v>
      </c>
      <c r="M14" s="71">
        <v>-7.2</v>
      </c>
      <c r="N14" s="71">
        <v>-7.8</v>
      </c>
      <c r="O14" s="70">
        <f t="shared" si="2"/>
        <v>0</v>
      </c>
      <c r="P14" s="71"/>
      <c r="Q14" s="71"/>
      <c r="R14" s="71"/>
      <c r="T14" s="26"/>
    </row>
    <row r="15" spans="1:20" ht="18">
      <c r="A15" s="9" t="s">
        <v>70</v>
      </c>
      <c r="B15" s="30">
        <v>1050000000</v>
      </c>
      <c r="C15" s="72">
        <f t="shared" ref="C15" si="8">C16</f>
        <v>5.5</v>
      </c>
      <c r="D15" s="73">
        <f t="shared" ref="D15:H15" si="9">D16</f>
        <v>0</v>
      </c>
      <c r="E15" s="73">
        <f t="shared" si="9"/>
        <v>5.5</v>
      </c>
      <c r="F15" s="73">
        <f t="shared" si="9"/>
        <v>0</v>
      </c>
      <c r="G15" s="72">
        <f>G16</f>
        <v>0</v>
      </c>
      <c r="H15" s="73">
        <f t="shared" si="9"/>
        <v>0</v>
      </c>
      <c r="I15" s="87">
        <f t="shared" si="1"/>
        <v>0</v>
      </c>
      <c r="J15" s="87">
        <f t="shared" si="5"/>
        <v>0</v>
      </c>
      <c r="K15" s="72">
        <f>K16</f>
        <v>5</v>
      </c>
      <c r="L15" s="87">
        <f t="shared" si="4"/>
        <v>0</v>
      </c>
      <c r="M15" s="72">
        <f>M16</f>
        <v>0</v>
      </c>
      <c r="N15" s="72">
        <f>N16</f>
        <v>5</v>
      </c>
      <c r="O15" s="87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T15" s="26"/>
    </row>
    <row r="16" spans="1:20" ht="18">
      <c r="A16" s="13" t="s">
        <v>7</v>
      </c>
      <c r="B16" s="13">
        <v>1050300001</v>
      </c>
      <c r="C16" s="71">
        <v>5.5</v>
      </c>
      <c r="D16" s="68"/>
      <c r="E16" s="71">
        <f>C16+D16</f>
        <v>5.5</v>
      </c>
      <c r="F16" s="71"/>
      <c r="G16" s="71"/>
      <c r="H16" s="68">
        <f>G16+M16</f>
        <v>0</v>
      </c>
      <c r="I16" s="77">
        <f t="shared" si="1"/>
        <v>0</v>
      </c>
      <c r="J16" s="77">
        <f t="shared" si="5"/>
        <v>0</v>
      </c>
      <c r="K16" s="71">
        <v>5</v>
      </c>
      <c r="L16" s="77">
        <f t="shared" si="4"/>
        <v>0</v>
      </c>
      <c r="M16" s="71"/>
      <c r="N16" s="71">
        <v>5</v>
      </c>
      <c r="O16" s="77">
        <f t="shared" si="2"/>
        <v>0</v>
      </c>
      <c r="P16" s="71"/>
      <c r="Q16" s="71"/>
      <c r="R16" s="71"/>
      <c r="T16" s="26"/>
    </row>
    <row r="17" spans="1:20" ht="18">
      <c r="A17" s="9" t="s">
        <v>71</v>
      </c>
      <c r="B17" s="30">
        <v>1060000000</v>
      </c>
      <c r="C17" s="72">
        <f t="shared" ref="C17" si="10">C18+C21</f>
        <v>333</v>
      </c>
      <c r="D17" s="73">
        <f t="shared" ref="D17:H17" si="11">D18+D21</f>
        <v>0</v>
      </c>
      <c r="E17" s="73">
        <f t="shared" si="11"/>
        <v>333</v>
      </c>
      <c r="F17" s="73">
        <f t="shared" si="11"/>
        <v>0</v>
      </c>
      <c r="G17" s="72">
        <f>G18+G21</f>
        <v>-5.8</v>
      </c>
      <c r="H17" s="73">
        <f t="shared" si="11"/>
        <v>8.6000000000000014</v>
      </c>
      <c r="I17" s="87">
        <f t="shared" si="1"/>
        <v>2.5825825825825831E-2</v>
      </c>
      <c r="J17" s="87">
        <f t="shared" si="5"/>
        <v>0</v>
      </c>
      <c r="K17" s="72">
        <f>K18+K21</f>
        <v>108.8</v>
      </c>
      <c r="L17" s="87">
        <f t="shared" si="4"/>
        <v>7.9044117647058834E-2</v>
      </c>
      <c r="M17" s="72">
        <f>M18+M21</f>
        <v>14.4</v>
      </c>
      <c r="N17" s="72">
        <f>N18+N21</f>
        <v>93.600000000000009</v>
      </c>
      <c r="O17" s="87">
        <f t="shared" si="2"/>
        <v>0.15384615384615383</v>
      </c>
      <c r="P17" s="72">
        <f>P18+P21</f>
        <v>44.900000000000006</v>
      </c>
      <c r="Q17" s="72">
        <f>Q18+Q21</f>
        <v>37.5</v>
      </c>
      <c r="R17" s="72">
        <f>R18+R21</f>
        <v>0</v>
      </c>
      <c r="T17" s="26"/>
    </row>
    <row r="18" spans="1:20" ht="18">
      <c r="A18" s="13" t="s">
        <v>13</v>
      </c>
      <c r="B18" s="13">
        <v>1060600000</v>
      </c>
      <c r="C18" s="71">
        <f t="shared" ref="C18" si="12">C19+C20</f>
        <v>276</v>
      </c>
      <c r="D18" s="68">
        <f t="shared" ref="D18:H18" si="13">D19+D20</f>
        <v>0</v>
      </c>
      <c r="E18" s="68">
        <f t="shared" si="13"/>
        <v>276</v>
      </c>
      <c r="F18" s="68">
        <f t="shared" si="13"/>
        <v>0</v>
      </c>
      <c r="G18" s="68">
        <f>G19+G20</f>
        <v>-3.3</v>
      </c>
      <c r="H18" s="68">
        <f t="shared" si="13"/>
        <v>10.200000000000001</v>
      </c>
      <c r="I18" s="77">
        <f t="shared" si="1"/>
        <v>3.6956521739130437E-2</v>
      </c>
      <c r="J18" s="77">
        <f t="shared" si="5"/>
        <v>0</v>
      </c>
      <c r="K18" s="68">
        <f>K19+K20</f>
        <v>108</v>
      </c>
      <c r="L18" s="77">
        <f t="shared" si="4"/>
        <v>9.4444444444444456E-2</v>
      </c>
      <c r="M18" s="68">
        <f>M19+M20</f>
        <v>13.5</v>
      </c>
      <c r="N18" s="68">
        <f>N19+N20</f>
        <v>92.100000000000009</v>
      </c>
      <c r="O18" s="77">
        <f t="shared" si="2"/>
        <v>0.14657980456026057</v>
      </c>
      <c r="P18" s="71">
        <f>P19+P20</f>
        <v>31.1</v>
      </c>
      <c r="Q18" s="71">
        <f>Q19+Q20</f>
        <v>25.3</v>
      </c>
      <c r="R18" s="71">
        <f>R19+R20</f>
        <v>0</v>
      </c>
      <c r="T18" s="26"/>
    </row>
    <row r="19" spans="1:20" ht="18">
      <c r="A19" s="13" t="s">
        <v>100</v>
      </c>
      <c r="B19" s="13">
        <v>1060603310</v>
      </c>
      <c r="C19" s="71">
        <v>220</v>
      </c>
      <c r="D19" s="68"/>
      <c r="E19" s="71">
        <f>C19+D19</f>
        <v>220</v>
      </c>
      <c r="F19" s="71"/>
      <c r="G19" s="71"/>
      <c r="H19" s="68">
        <f>G19+M19</f>
        <v>9.3000000000000007</v>
      </c>
      <c r="I19" s="77">
        <f t="shared" si="1"/>
        <v>4.2272727272727274E-2</v>
      </c>
      <c r="J19" s="77">
        <f t="shared" si="5"/>
        <v>0</v>
      </c>
      <c r="K19" s="71">
        <v>103.7</v>
      </c>
      <c r="L19" s="77">
        <f t="shared" si="4"/>
        <v>8.9681774349083906E-2</v>
      </c>
      <c r="M19" s="71">
        <v>9.3000000000000007</v>
      </c>
      <c r="N19" s="71">
        <v>90.4</v>
      </c>
      <c r="O19" s="77">
        <f t="shared" si="2"/>
        <v>0.10287610619469027</v>
      </c>
      <c r="P19" s="71"/>
      <c r="Q19" s="71"/>
      <c r="R19" s="71"/>
      <c r="T19" s="26"/>
    </row>
    <row r="20" spans="1:20" ht="18">
      <c r="A20" s="13" t="s">
        <v>101</v>
      </c>
      <c r="B20" s="13">
        <v>1060604310</v>
      </c>
      <c r="C20" s="71">
        <v>56</v>
      </c>
      <c r="D20" s="68"/>
      <c r="E20" s="71">
        <f>C20+D20</f>
        <v>56</v>
      </c>
      <c r="F20" s="71"/>
      <c r="G20" s="71">
        <v>-3.3</v>
      </c>
      <c r="H20" s="68">
        <f>G20+M20</f>
        <v>0.90000000000000036</v>
      </c>
      <c r="I20" s="77">
        <f t="shared" si="1"/>
        <v>1.6071428571428577E-2</v>
      </c>
      <c r="J20" s="77">
        <f t="shared" si="5"/>
        <v>0</v>
      </c>
      <c r="K20" s="71">
        <v>4.3</v>
      </c>
      <c r="L20" s="77">
        <f t="shared" si="4"/>
        <v>0.20930232558139544</v>
      </c>
      <c r="M20" s="71">
        <v>4.2</v>
      </c>
      <c r="N20" s="71">
        <v>1.7</v>
      </c>
      <c r="O20" s="77">
        <f t="shared" si="2"/>
        <v>2.4705882352941178</v>
      </c>
      <c r="P20" s="71">
        <v>31.1</v>
      </c>
      <c r="Q20" s="71">
        <v>25.3</v>
      </c>
      <c r="R20" s="71"/>
      <c r="T20" s="26"/>
    </row>
    <row r="21" spans="1:20" ht="18">
      <c r="A21" s="13" t="s">
        <v>12</v>
      </c>
      <c r="B21" s="13">
        <v>1060103010</v>
      </c>
      <c r="C21" s="71">
        <v>57</v>
      </c>
      <c r="D21" s="68"/>
      <c r="E21" s="71">
        <f>C21+D21</f>
        <v>57</v>
      </c>
      <c r="F21" s="71"/>
      <c r="G21" s="71">
        <v>-2.5</v>
      </c>
      <c r="H21" s="68">
        <f>G21+M21</f>
        <v>-1.6</v>
      </c>
      <c r="I21" s="77">
        <f t="shared" si="1"/>
        <v>-2.8070175438596492E-2</v>
      </c>
      <c r="J21" s="77">
        <f t="shared" si="5"/>
        <v>0</v>
      </c>
      <c r="K21" s="71">
        <v>0.8</v>
      </c>
      <c r="L21" s="77">
        <f t="shared" si="4"/>
        <v>-2</v>
      </c>
      <c r="M21" s="71">
        <v>0.9</v>
      </c>
      <c r="N21" s="71">
        <v>1.5</v>
      </c>
      <c r="O21" s="77">
        <f t="shared" si="2"/>
        <v>0.6</v>
      </c>
      <c r="P21" s="71">
        <v>13.8</v>
      </c>
      <c r="Q21" s="71">
        <v>12.2</v>
      </c>
      <c r="R21" s="71"/>
      <c r="T21" s="172"/>
    </row>
    <row r="22" spans="1:20" ht="17.25" customHeight="1">
      <c r="A22" s="9" t="s">
        <v>72</v>
      </c>
      <c r="B22" s="30">
        <v>1080402001</v>
      </c>
      <c r="C22" s="72">
        <v>5</v>
      </c>
      <c r="D22" s="73"/>
      <c r="E22" s="72">
        <f>C22+D22</f>
        <v>5</v>
      </c>
      <c r="F22" s="72"/>
      <c r="G22" s="72">
        <v>0.9</v>
      </c>
      <c r="H22" s="73">
        <f>G22+M22</f>
        <v>1</v>
      </c>
      <c r="I22" s="87">
        <f t="shared" si="1"/>
        <v>0.2</v>
      </c>
      <c r="J22" s="87">
        <f t="shared" si="5"/>
        <v>0</v>
      </c>
      <c r="K22" s="72">
        <v>3.1</v>
      </c>
      <c r="L22" s="87">
        <f t="shared" si="4"/>
        <v>0.32258064516129031</v>
      </c>
      <c r="M22" s="72">
        <v>0.1</v>
      </c>
      <c r="N22" s="72">
        <v>0.7</v>
      </c>
      <c r="O22" s="87">
        <f t="shared" si="2"/>
        <v>0.14285714285714288</v>
      </c>
      <c r="P22" s="72"/>
      <c r="Q22" s="72"/>
      <c r="R22" s="72"/>
      <c r="T22" s="26"/>
    </row>
    <row r="23" spans="1:20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5"/>
        <v>0</v>
      </c>
      <c r="K23" s="72"/>
      <c r="L23" s="87">
        <f t="shared" si="4"/>
        <v>0</v>
      </c>
      <c r="M23" s="72"/>
      <c r="N23" s="72"/>
      <c r="O23" s="87">
        <f t="shared" si="2"/>
        <v>0</v>
      </c>
      <c r="P23" s="72"/>
      <c r="Q23" s="72"/>
      <c r="R23" s="72"/>
      <c r="T23" s="26"/>
    </row>
    <row r="24" spans="1:20" ht="18">
      <c r="A24" s="32" t="s">
        <v>22</v>
      </c>
      <c r="B24" s="32"/>
      <c r="C24" s="86">
        <f t="shared" ref="C24:H24" si="14">C25+C28+C32+C29+C31+C30</f>
        <v>890.4</v>
      </c>
      <c r="D24" s="86">
        <f t="shared" si="14"/>
        <v>0</v>
      </c>
      <c r="E24" s="86">
        <f t="shared" si="14"/>
        <v>890.4</v>
      </c>
      <c r="F24" s="86">
        <f t="shared" si="14"/>
        <v>0</v>
      </c>
      <c r="G24" s="86">
        <f>G25+G28+G32+G29+G31+G30</f>
        <v>352.4</v>
      </c>
      <c r="H24" s="86">
        <f t="shared" si="14"/>
        <v>818.4</v>
      </c>
      <c r="I24" s="90">
        <f t="shared" si="1"/>
        <v>0.91913746630727766</v>
      </c>
      <c r="J24" s="90">
        <f t="shared" si="5"/>
        <v>0</v>
      </c>
      <c r="K24" s="86">
        <f>K25+K28+K32+K29+K31+K30</f>
        <v>28.200000000000003</v>
      </c>
      <c r="L24" s="90">
        <f t="shared" si="4"/>
        <v>29.021276595744677</v>
      </c>
      <c r="M24" s="86">
        <f>M25+M28+M32+M29+M31+M30</f>
        <v>466</v>
      </c>
      <c r="N24" s="86">
        <f>N25+N28+N32+N29+N31+N30</f>
        <v>10.6</v>
      </c>
      <c r="O24" s="90">
        <f t="shared" si="2"/>
        <v>43.962264150943398</v>
      </c>
      <c r="P24" s="76">
        <f>P25+P28+P32+P29</f>
        <v>0</v>
      </c>
      <c r="Q24" s="76">
        <f>Q25+Q28+Q32+Q29</f>
        <v>0</v>
      </c>
      <c r="R24" s="76">
        <f>R25+R28+R32+R29</f>
        <v>0</v>
      </c>
      <c r="T24" s="26"/>
    </row>
    <row r="25" spans="1:20" ht="18">
      <c r="A25" s="9" t="s">
        <v>74</v>
      </c>
      <c r="B25" s="30">
        <v>1110000000</v>
      </c>
      <c r="C25" s="72">
        <f t="shared" ref="C25:H25" si="15">C26+C27</f>
        <v>107</v>
      </c>
      <c r="D25" s="72">
        <f t="shared" si="15"/>
        <v>0</v>
      </c>
      <c r="E25" s="72">
        <f t="shared" si="15"/>
        <v>107</v>
      </c>
      <c r="F25" s="72">
        <f t="shared" si="15"/>
        <v>0</v>
      </c>
      <c r="G25" s="72">
        <f>G26+G27</f>
        <v>18.399999999999999</v>
      </c>
      <c r="H25" s="72">
        <f t="shared" si="15"/>
        <v>30.9</v>
      </c>
      <c r="I25" s="87">
        <f t="shared" si="1"/>
        <v>0.28878504672897193</v>
      </c>
      <c r="J25" s="87">
        <f t="shared" si="5"/>
        <v>0</v>
      </c>
      <c r="K25" s="72">
        <f>K26+K27</f>
        <v>27.1</v>
      </c>
      <c r="L25" s="87">
        <f t="shared" si="4"/>
        <v>1.140221402214022</v>
      </c>
      <c r="M25" s="72">
        <f>M26+M27</f>
        <v>12.5</v>
      </c>
      <c r="N25" s="72">
        <f>N26+N27</f>
        <v>10.6</v>
      </c>
      <c r="O25" s="87">
        <f t="shared" si="2"/>
        <v>1.179245283018868</v>
      </c>
      <c r="P25" s="72">
        <f>P26+P27</f>
        <v>0</v>
      </c>
      <c r="Q25" s="72">
        <f>Q26+Q27</f>
        <v>0</v>
      </c>
      <c r="R25" s="72">
        <f>R26+R27</f>
        <v>0</v>
      </c>
      <c r="T25" s="26"/>
    </row>
    <row r="26" spans="1:20" ht="19.5" customHeight="1">
      <c r="A26" s="13" t="s">
        <v>106</v>
      </c>
      <c r="B26" s="13">
        <v>1110502510</v>
      </c>
      <c r="C26" s="71"/>
      <c r="D26" s="68"/>
      <c r="E26" s="71">
        <f t="shared" ref="E26:E31" si="16">C26+D26</f>
        <v>0</v>
      </c>
      <c r="F26" s="71"/>
      <c r="G26" s="71"/>
      <c r="H26" s="68">
        <f t="shared" ref="H26:H31" si="17">G26+M26</f>
        <v>0</v>
      </c>
      <c r="I26" s="77">
        <f t="shared" si="1"/>
        <v>0</v>
      </c>
      <c r="J26" s="77">
        <f t="shared" si="5"/>
        <v>0</v>
      </c>
      <c r="K26" s="71"/>
      <c r="L26" s="77">
        <f t="shared" si="4"/>
        <v>0</v>
      </c>
      <c r="M26" s="71"/>
      <c r="N26" s="71"/>
      <c r="O26" s="77">
        <f t="shared" si="2"/>
        <v>0</v>
      </c>
      <c r="P26" s="71"/>
      <c r="Q26" s="71"/>
      <c r="R26" s="71"/>
      <c r="T26" s="26"/>
    </row>
    <row r="27" spans="1:20" ht="18">
      <c r="A27" s="33" t="s">
        <v>23</v>
      </c>
      <c r="B27" s="13">
        <v>1110904510</v>
      </c>
      <c r="C27" s="71">
        <v>107</v>
      </c>
      <c r="D27" s="83"/>
      <c r="E27" s="71">
        <f t="shared" si="16"/>
        <v>107</v>
      </c>
      <c r="F27" s="71"/>
      <c r="G27" s="71">
        <v>18.399999999999999</v>
      </c>
      <c r="H27" s="68">
        <f t="shared" si="17"/>
        <v>30.9</v>
      </c>
      <c r="I27" s="77">
        <f t="shared" si="1"/>
        <v>0.28878504672897193</v>
      </c>
      <c r="J27" s="77">
        <f t="shared" si="5"/>
        <v>0</v>
      </c>
      <c r="K27" s="71">
        <v>27.1</v>
      </c>
      <c r="L27" s="77">
        <f t="shared" si="4"/>
        <v>1.140221402214022</v>
      </c>
      <c r="M27" s="71">
        <v>12.5</v>
      </c>
      <c r="N27" s="71">
        <v>10.6</v>
      </c>
      <c r="O27" s="77">
        <f t="shared" si="2"/>
        <v>1.179245283018868</v>
      </c>
      <c r="P27" s="71"/>
      <c r="Q27" s="71"/>
      <c r="R27" s="71"/>
      <c r="T27" s="26"/>
    </row>
    <row r="28" spans="1:20" ht="18">
      <c r="A28" s="9" t="s">
        <v>38</v>
      </c>
      <c r="B28" s="30">
        <v>1130299510</v>
      </c>
      <c r="C28" s="72"/>
      <c r="D28" s="72"/>
      <c r="E28" s="72">
        <f t="shared" si="16"/>
        <v>0</v>
      </c>
      <c r="F28" s="72"/>
      <c r="G28" s="72"/>
      <c r="H28" s="73">
        <f t="shared" si="17"/>
        <v>0</v>
      </c>
      <c r="I28" s="87">
        <f t="shared" si="1"/>
        <v>0</v>
      </c>
      <c r="J28" s="87">
        <f t="shared" si="5"/>
        <v>0</v>
      </c>
      <c r="K28" s="72">
        <v>1.1000000000000001</v>
      </c>
      <c r="L28" s="87">
        <f t="shared" si="4"/>
        <v>0</v>
      </c>
      <c r="M28" s="72"/>
      <c r="N28" s="72"/>
      <c r="O28" s="87">
        <f t="shared" si="2"/>
        <v>0</v>
      </c>
      <c r="P28" s="72"/>
      <c r="Q28" s="72"/>
      <c r="R28" s="72"/>
      <c r="T28" s="26"/>
    </row>
    <row r="29" spans="1:20" ht="18">
      <c r="A29" s="9" t="s">
        <v>76</v>
      </c>
      <c r="B29" s="30">
        <v>1140601410</v>
      </c>
      <c r="C29" s="72"/>
      <c r="D29" s="72"/>
      <c r="E29" s="72">
        <f t="shared" si="16"/>
        <v>0</v>
      </c>
      <c r="F29" s="72"/>
      <c r="G29" s="72"/>
      <c r="H29" s="73">
        <f t="shared" si="17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4"/>
        <v>0</v>
      </c>
      <c r="M29" s="72"/>
      <c r="N29" s="72"/>
      <c r="O29" s="87">
        <f t="shared" si="2"/>
        <v>0</v>
      </c>
      <c r="P29" s="72"/>
      <c r="Q29" s="72"/>
      <c r="R29" s="72"/>
      <c r="T29" s="26"/>
    </row>
    <row r="30" spans="1:20" ht="18">
      <c r="A30" s="9" t="s">
        <v>75</v>
      </c>
      <c r="B30" s="30">
        <v>1140205310</v>
      </c>
      <c r="C30" s="72"/>
      <c r="D30" s="72"/>
      <c r="E30" s="72">
        <f t="shared" si="16"/>
        <v>0</v>
      </c>
      <c r="F30" s="72"/>
      <c r="G30" s="72"/>
      <c r="H30" s="73">
        <f t="shared" si="17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4"/>
        <v>0</v>
      </c>
      <c r="M30" s="72"/>
      <c r="N30" s="72"/>
      <c r="O30" s="87">
        <f t="shared" si="2"/>
        <v>0</v>
      </c>
      <c r="P30" s="72"/>
      <c r="Q30" s="72"/>
      <c r="R30" s="72"/>
      <c r="T30" s="26"/>
    </row>
    <row r="31" spans="1:20" ht="18">
      <c r="A31" s="9" t="s">
        <v>79</v>
      </c>
      <c r="B31" s="30">
        <v>1169005010</v>
      </c>
      <c r="C31" s="72"/>
      <c r="D31" s="72"/>
      <c r="E31" s="72">
        <f t="shared" si="16"/>
        <v>0</v>
      </c>
      <c r="F31" s="72"/>
      <c r="G31" s="72"/>
      <c r="H31" s="73">
        <f t="shared" si="17"/>
        <v>0</v>
      </c>
      <c r="I31" s="87">
        <f>IF(E31&gt;0,H31/E31,0)</f>
        <v>0</v>
      </c>
      <c r="J31" s="87">
        <f>IF(F31&gt;0,H31/F31,0)</f>
        <v>0</v>
      </c>
      <c r="K31" s="72"/>
      <c r="L31" s="87">
        <f t="shared" si="4"/>
        <v>0</v>
      </c>
      <c r="M31" s="72"/>
      <c r="N31" s="72"/>
      <c r="O31" s="87">
        <f t="shared" si="2"/>
        <v>0</v>
      </c>
      <c r="P31" s="72"/>
      <c r="Q31" s="72"/>
      <c r="R31" s="72"/>
      <c r="T31" s="26"/>
    </row>
    <row r="32" spans="1:20" ht="18">
      <c r="A32" s="9" t="s">
        <v>69</v>
      </c>
      <c r="B32" s="30">
        <v>1170000000</v>
      </c>
      <c r="C32" s="72">
        <f>SUM(C33:C35)</f>
        <v>783.4</v>
      </c>
      <c r="D32" s="72">
        <f t="shared" ref="D32:H32" si="18">SUM(D33:D35)</f>
        <v>0</v>
      </c>
      <c r="E32" s="72">
        <f t="shared" si="18"/>
        <v>783.4</v>
      </c>
      <c r="F32" s="72">
        <f t="shared" si="18"/>
        <v>0</v>
      </c>
      <c r="G32" s="72">
        <f t="shared" si="18"/>
        <v>334</v>
      </c>
      <c r="H32" s="72">
        <f t="shared" si="18"/>
        <v>787.5</v>
      </c>
      <c r="I32" s="87">
        <f>IF(E32&gt;0,H32/E32,0)</f>
        <v>1.005233597140669</v>
      </c>
      <c r="J32" s="87">
        <f>IF(F32&gt;0,H32/F32,0)</f>
        <v>0</v>
      </c>
      <c r="K32" s="72">
        <f t="shared" ref="K32" si="19">SUM(K33:K35)</f>
        <v>0</v>
      </c>
      <c r="L32" s="87">
        <f t="shared" si="4"/>
        <v>0</v>
      </c>
      <c r="M32" s="72">
        <f t="shared" ref="M32:N32" si="20">SUM(M33:M35)</f>
        <v>453.5</v>
      </c>
      <c r="N32" s="72">
        <f t="shared" si="20"/>
        <v>0</v>
      </c>
      <c r="O32" s="87">
        <f t="shared" si="2"/>
        <v>0</v>
      </c>
      <c r="P32" s="72">
        <f t="shared" ref="P32:R32" si="21">SUM(P33:P34)</f>
        <v>0</v>
      </c>
      <c r="Q32" s="72">
        <f>SUM(Q33:Q34)</f>
        <v>0</v>
      </c>
      <c r="R32" s="72">
        <f t="shared" si="21"/>
        <v>0</v>
      </c>
      <c r="T32" s="26"/>
    </row>
    <row r="33" spans="1:20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5"/>
        <v>0</v>
      </c>
      <c r="K33" s="71"/>
      <c r="L33" s="77">
        <f t="shared" si="4"/>
        <v>0</v>
      </c>
      <c r="M33" s="71"/>
      <c r="N33" s="71"/>
      <c r="O33" s="77">
        <f t="shared" si="2"/>
        <v>0</v>
      </c>
      <c r="P33" s="77"/>
      <c r="Q33" s="77"/>
      <c r="R33" s="77"/>
      <c r="T33" s="26"/>
    </row>
    <row r="34" spans="1:20" ht="18">
      <c r="A34" s="13" t="s">
        <v>33</v>
      </c>
      <c r="B34" s="13">
        <v>1170505010</v>
      </c>
      <c r="C34" s="71"/>
      <c r="D34" s="82"/>
      <c r="E34" s="71">
        <f>C34+D34</f>
        <v>0</v>
      </c>
      <c r="F34" s="71"/>
      <c r="G34" s="71"/>
      <c r="H34" s="68">
        <f>G34+M34</f>
        <v>0</v>
      </c>
      <c r="I34" s="77">
        <f>IF(E34&gt;0,H34/E34,0)</f>
        <v>0</v>
      </c>
      <c r="J34" s="77">
        <f>IF(F34&gt;0,H34/F34,0)</f>
        <v>0</v>
      </c>
      <c r="K34" s="71"/>
      <c r="L34" s="77">
        <f>IF(K34&gt;0,H34/K34,0)</f>
        <v>0</v>
      </c>
      <c r="M34" s="71"/>
      <c r="N34" s="71"/>
      <c r="O34" s="77">
        <f>IF(N34&gt;0,M34/N34,0)</f>
        <v>0</v>
      </c>
      <c r="P34" s="71"/>
      <c r="Q34" s="71"/>
      <c r="R34" s="71"/>
      <c r="T34" s="26"/>
    </row>
    <row r="35" spans="1:20" ht="18.75">
      <c r="A35" s="186" t="s">
        <v>115</v>
      </c>
      <c r="B35" s="186">
        <v>1171503010</v>
      </c>
      <c r="C35" s="71">
        <v>783.4</v>
      </c>
      <c r="D35" s="82"/>
      <c r="E35" s="71">
        <f>C35+D35</f>
        <v>783.4</v>
      </c>
      <c r="F35" s="71"/>
      <c r="G35" s="71">
        <v>334</v>
      </c>
      <c r="H35" s="68">
        <f>G35+M35</f>
        <v>787.5</v>
      </c>
      <c r="I35" s="77">
        <f>IF(E35&gt;0,H35/E35,0)</f>
        <v>1.005233597140669</v>
      </c>
      <c r="J35" s="77"/>
      <c r="K35" s="71"/>
      <c r="L35" s="77">
        <f>IF(K35&gt;0,H35/K35,0)</f>
        <v>0</v>
      </c>
      <c r="M35" s="71">
        <v>453.5</v>
      </c>
      <c r="N35" s="71"/>
      <c r="O35" s="77">
        <f>IF(N35&gt;0,M35/N35,0)</f>
        <v>0</v>
      </c>
      <c r="P35" s="71"/>
      <c r="Q35" s="71"/>
      <c r="R35" s="71"/>
      <c r="T35" s="26"/>
    </row>
    <row r="36" spans="1:20" ht="18">
      <c r="A36" s="9" t="s">
        <v>6</v>
      </c>
      <c r="B36" s="9">
        <v>1000000000</v>
      </c>
      <c r="C36" s="79">
        <f t="shared" ref="C36:H36" si="22">C5+C24</f>
        <v>2876.9</v>
      </c>
      <c r="D36" s="78">
        <f t="shared" si="22"/>
        <v>0</v>
      </c>
      <c r="E36" s="78">
        <f t="shared" si="22"/>
        <v>2876.9</v>
      </c>
      <c r="F36" s="79">
        <f t="shared" si="22"/>
        <v>0</v>
      </c>
      <c r="G36" s="79">
        <f>G5+G24</f>
        <v>459.29999999999995</v>
      </c>
      <c r="H36" s="79">
        <f t="shared" si="22"/>
        <v>1157.9000000000001</v>
      </c>
      <c r="I36" s="91">
        <f t="shared" si="1"/>
        <v>0.40248183808961036</v>
      </c>
      <c r="J36" s="91">
        <f t="shared" si="5"/>
        <v>0</v>
      </c>
      <c r="K36" s="79">
        <f>K5+K24</f>
        <v>507.1</v>
      </c>
      <c r="L36" s="91">
        <f t="shared" si="4"/>
        <v>2.2833760599487283</v>
      </c>
      <c r="M36" s="79">
        <f>M5+M24</f>
        <v>698.59999999999991</v>
      </c>
      <c r="N36" s="79">
        <f>N5+N24</f>
        <v>287.70000000000005</v>
      </c>
      <c r="O36" s="91">
        <f t="shared" si="2"/>
        <v>2.4282238442822379</v>
      </c>
      <c r="P36" s="79">
        <f>P5+P24</f>
        <v>53.7</v>
      </c>
      <c r="Q36" s="79">
        <f>Q5+Q24</f>
        <v>55.5</v>
      </c>
      <c r="R36" s="79">
        <f>R5+R24</f>
        <v>0</v>
      </c>
      <c r="T36" s="26"/>
    </row>
    <row r="37" spans="1:20" ht="18">
      <c r="A37" s="9" t="s">
        <v>92</v>
      </c>
      <c r="B37" s="9"/>
      <c r="C37" s="79">
        <f t="shared" ref="C37:H37" si="23">C36-C10</f>
        <v>2224.5</v>
      </c>
      <c r="D37" s="78">
        <f t="shared" si="23"/>
        <v>0</v>
      </c>
      <c r="E37" s="78">
        <f t="shared" si="23"/>
        <v>2224.5</v>
      </c>
      <c r="F37" s="79">
        <f t="shared" si="23"/>
        <v>0</v>
      </c>
      <c r="G37" s="79">
        <f>G36-G10</f>
        <v>376.4</v>
      </c>
      <c r="H37" s="79">
        <f t="shared" si="23"/>
        <v>982.60000000000014</v>
      </c>
      <c r="I37" s="91">
        <f>IF(E37&gt;0,H37/E37,0)</f>
        <v>0.44171723982917516</v>
      </c>
      <c r="J37" s="91">
        <f>IF(F37&gt;0,H37/F37,0)</f>
        <v>0</v>
      </c>
      <c r="K37" s="79">
        <f>K36-K10</f>
        <v>340.5</v>
      </c>
      <c r="L37" s="91">
        <f t="shared" si="4"/>
        <v>2.8857562408223205</v>
      </c>
      <c r="M37" s="79">
        <f>M36-M10</f>
        <v>606.19999999999993</v>
      </c>
      <c r="N37" s="79">
        <f>N36-N10</f>
        <v>181.60000000000002</v>
      </c>
      <c r="O37" s="91">
        <f t="shared" si="2"/>
        <v>3.338105726872246</v>
      </c>
      <c r="P37" s="79"/>
      <c r="Q37" s="79"/>
      <c r="R37" s="79"/>
      <c r="T37" s="174"/>
    </row>
    <row r="38" spans="1:20" ht="18">
      <c r="A38" s="13" t="s">
        <v>25</v>
      </c>
      <c r="B38" s="13">
        <v>2000000000</v>
      </c>
      <c r="C38" s="83">
        <v>11101.36</v>
      </c>
      <c r="D38" s="83">
        <f>3916.439-244.5</f>
        <v>3671.9389999999999</v>
      </c>
      <c r="E38" s="83">
        <f>C38+D38</f>
        <v>14773.299000000001</v>
      </c>
      <c r="F38" s="71"/>
      <c r="G38" s="71">
        <v>1156.4000000000001</v>
      </c>
      <c r="H38" s="68">
        <f>G38+M38</f>
        <v>1741.9</v>
      </c>
      <c r="I38" s="77">
        <f t="shared" si="1"/>
        <v>0.1179086675223997</v>
      </c>
      <c r="J38" s="77">
        <f t="shared" si="5"/>
        <v>0</v>
      </c>
      <c r="K38" s="71">
        <v>1456.3</v>
      </c>
      <c r="L38" s="77">
        <f t="shared" si="4"/>
        <v>1.1961134381652132</v>
      </c>
      <c r="M38" s="71">
        <v>585.5</v>
      </c>
      <c r="N38" s="71">
        <v>490</v>
      </c>
      <c r="O38" s="77">
        <f t="shared" si="2"/>
        <v>1.1948979591836735</v>
      </c>
      <c r="P38" s="71"/>
      <c r="Q38" s="71"/>
      <c r="R38" s="71"/>
      <c r="T38" s="26"/>
    </row>
    <row r="39" spans="1:20" ht="18">
      <c r="A39" s="13" t="s">
        <v>46</v>
      </c>
      <c r="B39" s="34" t="s">
        <v>102</v>
      </c>
      <c r="C39" s="71">
        <v>23.5</v>
      </c>
      <c r="D39" s="82"/>
      <c r="E39" s="71">
        <f>C39+D39</f>
        <v>23.5</v>
      </c>
      <c r="F39" s="71"/>
      <c r="G39" s="71"/>
      <c r="H39" s="68">
        <f>G39+M39</f>
        <v>0</v>
      </c>
      <c r="I39" s="77">
        <f>IF(E39&gt;0,H39/E39,0)</f>
        <v>0</v>
      </c>
      <c r="J39" s="77">
        <f>IF(F39&gt;0,H39/F39,0)</f>
        <v>0</v>
      </c>
      <c r="K39" s="71"/>
      <c r="L39" s="77">
        <f t="shared" si="4"/>
        <v>0</v>
      </c>
      <c r="M39" s="71"/>
      <c r="N39" s="71"/>
      <c r="O39" s="77">
        <f t="shared" si="2"/>
        <v>0</v>
      </c>
      <c r="P39" s="71"/>
      <c r="Q39" s="71"/>
      <c r="R39" s="71"/>
      <c r="T39" s="26"/>
    </row>
    <row r="40" spans="1:20" ht="18">
      <c r="A40" s="13" t="s">
        <v>46</v>
      </c>
      <c r="B40" s="192" t="s">
        <v>129</v>
      </c>
      <c r="C40" s="71">
        <v>16.7</v>
      </c>
      <c r="D40" s="82"/>
      <c r="E40" s="71">
        <f>C40+D40</f>
        <v>16.7</v>
      </c>
      <c r="F40" s="71"/>
      <c r="G40" s="71"/>
      <c r="H40" s="68">
        <f>G40+M40</f>
        <v>0</v>
      </c>
      <c r="I40" s="77">
        <f>IF(E40&gt;0,H40/E40,0)</f>
        <v>0</v>
      </c>
      <c r="J40" s="77"/>
      <c r="K40" s="71"/>
      <c r="L40" s="77">
        <f t="shared" si="4"/>
        <v>0</v>
      </c>
      <c r="M40" s="71"/>
      <c r="N40" s="71"/>
      <c r="O40" s="77">
        <f t="shared" si="2"/>
        <v>0</v>
      </c>
      <c r="P40" s="71"/>
      <c r="Q40" s="71"/>
      <c r="R40" s="71"/>
      <c r="T40" s="26"/>
    </row>
    <row r="41" spans="1:20" ht="18">
      <c r="A41" s="9" t="s">
        <v>2</v>
      </c>
      <c r="B41" s="9">
        <v>0</v>
      </c>
      <c r="C41" s="78">
        <f>C36+C38+C39+C40</f>
        <v>14018.460000000001</v>
      </c>
      <c r="D41" s="78">
        <f t="shared" ref="D41:H41" si="24">D36+D38+D39+D40</f>
        <v>3671.9389999999999</v>
      </c>
      <c r="E41" s="78">
        <f t="shared" si="24"/>
        <v>17690.399000000001</v>
      </c>
      <c r="F41" s="78">
        <f t="shared" si="24"/>
        <v>0</v>
      </c>
      <c r="G41" s="79">
        <f t="shared" si="24"/>
        <v>1615.7</v>
      </c>
      <c r="H41" s="79">
        <f t="shared" si="24"/>
        <v>2899.8</v>
      </c>
      <c r="I41" s="91">
        <f t="shared" si="1"/>
        <v>0.16391942318542391</v>
      </c>
      <c r="J41" s="91"/>
      <c r="K41" s="79">
        <f t="shared" ref="K41" si="25">K36+K38+K39+K40</f>
        <v>1963.4</v>
      </c>
      <c r="L41" s="79">
        <f t="shared" ref="L41" si="26">L36+L38+L39+L40</f>
        <v>3.4794894981139413</v>
      </c>
      <c r="M41" s="79">
        <f t="shared" ref="M41" si="27">M36+M38+M39+M40</f>
        <v>1284.0999999999999</v>
      </c>
      <c r="N41" s="79">
        <f t="shared" ref="N41" si="28">N36+N38+N39+N40</f>
        <v>777.7</v>
      </c>
      <c r="O41" s="91">
        <f t="shared" si="2"/>
        <v>1.651150829368651</v>
      </c>
      <c r="P41" s="92">
        <f>P36+P38</f>
        <v>53.7</v>
      </c>
      <c r="Q41" s="79">
        <f>Q36+Q38</f>
        <v>55.5</v>
      </c>
      <c r="R41" s="79">
        <f>R36+R38</f>
        <v>0</v>
      </c>
      <c r="T41" s="26"/>
    </row>
    <row r="42" spans="1:20" ht="21.75" customHeight="1">
      <c r="H42" s="27"/>
      <c r="I42" s="27"/>
      <c r="T42" s="26"/>
    </row>
  </sheetData>
  <mergeCells count="15"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</mergeCells>
  <phoneticPr fontId="0" type="noConversion"/>
  <pageMargins left="0.75" right="0.75" top="1" bottom="1" header="0.5" footer="0.5"/>
  <pageSetup paperSize="9" scale="5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2"/>
  <sheetViews>
    <sheetView zoomScaleNormal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Q7" sqref="Q7:Q21"/>
    </sheetView>
  </sheetViews>
  <sheetFormatPr defaultRowHeight="12.75"/>
  <cols>
    <col min="1" max="1" width="37.85546875" customWidth="1"/>
    <col min="2" max="2" width="15.140625" customWidth="1"/>
    <col min="3" max="3" width="14.28515625" customWidth="1"/>
    <col min="4" max="4" width="13.7109375" customWidth="1"/>
    <col min="5" max="5" width="13.140625" customWidth="1"/>
    <col min="6" max="6" width="0.5703125" hidden="1" customWidth="1"/>
    <col min="7" max="7" width="10.85546875" customWidth="1"/>
    <col min="8" max="8" width="11.42578125" customWidth="1"/>
    <col min="9" max="9" width="12.42578125" customWidth="1"/>
    <col min="10" max="10" width="10.7109375" hidden="1" customWidth="1"/>
    <col min="11" max="11" width="10.85546875" customWidth="1"/>
    <col min="12" max="12" width="13.7109375" customWidth="1"/>
    <col min="13" max="13" width="10.42578125" customWidth="1"/>
    <col min="14" max="14" width="10.7109375" customWidth="1"/>
    <col min="15" max="15" width="13.85546875" customWidth="1"/>
    <col min="16" max="16" width="10.7109375" customWidth="1"/>
    <col min="17" max="17" width="10.140625" customWidth="1"/>
  </cols>
  <sheetData>
    <row r="1" spans="1:18" ht="15.75">
      <c r="A1" s="26"/>
      <c r="B1" s="48"/>
      <c r="C1" s="199" t="s">
        <v>11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49"/>
      <c r="O1" s="49"/>
      <c r="P1" s="26"/>
      <c r="Q1" s="26"/>
      <c r="R1" s="26"/>
    </row>
    <row r="2" spans="1:18" ht="15.75">
      <c r="A2" s="26"/>
      <c r="B2" s="204" t="s">
        <v>135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18" ht="13.5" customHeight="1">
      <c r="A3" s="193" t="s">
        <v>3</v>
      </c>
      <c r="B3" s="193" t="s">
        <v>4</v>
      </c>
      <c r="C3" s="193" t="s">
        <v>121</v>
      </c>
      <c r="D3" s="193" t="s">
        <v>24</v>
      </c>
      <c r="E3" s="193" t="s">
        <v>120</v>
      </c>
      <c r="F3" s="193" t="s">
        <v>99</v>
      </c>
      <c r="G3" s="193" t="s">
        <v>123</v>
      </c>
      <c r="H3" s="193" t="s">
        <v>119</v>
      </c>
      <c r="I3" s="193"/>
      <c r="J3" s="193"/>
      <c r="K3" s="193" t="s">
        <v>114</v>
      </c>
      <c r="L3" s="193"/>
      <c r="M3" s="193" t="s">
        <v>126</v>
      </c>
      <c r="N3" s="193" t="s">
        <v>127</v>
      </c>
      <c r="O3" s="193" t="s">
        <v>30</v>
      </c>
      <c r="P3" s="193" t="s">
        <v>9</v>
      </c>
      <c r="Q3" s="193"/>
      <c r="R3" s="193"/>
    </row>
    <row r="4" spans="1:18" ht="104.25" customHeight="1">
      <c r="A4" s="203"/>
      <c r="B4" s="203"/>
      <c r="C4" s="193"/>
      <c r="D4" s="193"/>
      <c r="E4" s="193"/>
      <c r="F4" s="193"/>
      <c r="G4" s="193"/>
      <c r="H4" s="188" t="s">
        <v>125</v>
      </c>
      <c r="I4" s="188" t="s">
        <v>10</v>
      </c>
      <c r="J4" s="188" t="s">
        <v>29</v>
      </c>
      <c r="K4" s="188" t="s">
        <v>125</v>
      </c>
      <c r="L4" s="188" t="s">
        <v>30</v>
      </c>
      <c r="M4" s="193"/>
      <c r="N4" s="193"/>
      <c r="O4" s="193"/>
      <c r="P4" s="122" t="s">
        <v>118</v>
      </c>
      <c r="Q4" s="122" t="s">
        <v>124</v>
      </c>
      <c r="R4" s="122" t="s">
        <v>137</v>
      </c>
    </row>
    <row r="5" spans="1:18" ht="20.25" customHeight="1">
      <c r="A5" s="29" t="s">
        <v>21</v>
      </c>
      <c r="B5" s="29"/>
      <c r="C5" s="89">
        <f t="shared" ref="C5:H5" si="0">C6+C15+C17+C22+C23+C10</f>
        <v>1099</v>
      </c>
      <c r="D5" s="89">
        <f t="shared" si="0"/>
        <v>0</v>
      </c>
      <c r="E5" s="89">
        <f t="shared" si="0"/>
        <v>1099</v>
      </c>
      <c r="F5" s="89">
        <f t="shared" si="0"/>
        <v>0</v>
      </c>
      <c r="G5" s="89">
        <f t="shared" si="0"/>
        <v>120.80000000000001</v>
      </c>
      <c r="H5" s="89">
        <f t="shared" si="0"/>
        <v>259.7</v>
      </c>
      <c r="I5" s="90">
        <f t="shared" ref="I5:I40" si="1">IF(E5&gt;0,H5/E5,0)</f>
        <v>0.23630573248407644</v>
      </c>
      <c r="J5" s="90">
        <f>IF(F5&gt;0,H5/F5,0)</f>
        <v>0</v>
      </c>
      <c r="K5" s="89">
        <f>K6+K15+K17+K22+K23+K10</f>
        <v>254.3</v>
      </c>
      <c r="L5" s="90">
        <f>IF(K5&gt;0,H5/K5,0)</f>
        <v>1.0212347620920172</v>
      </c>
      <c r="M5" s="89">
        <f>M6+M15+M17+M22+M23+M10</f>
        <v>138.9</v>
      </c>
      <c r="N5" s="89">
        <f>N6+N15+N17+N22+N23+N10</f>
        <v>146.1</v>
      </c>
      <c r="O5" s="90">
        <f t="shared" ref="O5:O32" si="2">IF(N5&gt;0,M5/N5,0)</f>
        <v>0.95071868583162222</v>
      </c>
      <c r="P5" s="89">
        <f>P6+P15+P17+P22+P23+P10</f>
        <v>26.2</v>
      </c>
      <c r="Q5" s="89">
        <f>Q6+Q15+Q17+Q22+Q23+Q10</f>
        <v>33.700000000000003</v>
      </c>
      <c r="R5" s="89">
        <f>R6+R15+R17+R22+R23+R10</f>
        <v>0</v>
      </c>
    </row>
    <row r="6" spans="1:18" ht="18">
      <c r="A6" s="9" t="s">
        <v>63</v>
      </c>
      <c r="B6" s="30">
        <v>1010200001</v>
      </c>
      <c r="C6" s="72">
        <f t="shared" ref="C6:H6" si="3">C7+C8+C9</f>
        <v>235.5</v>
      </c>
      <c r="D6" s="72">
        <f t="shared" si="3"/>
        <v>0</v>
      </c>
      <c r="E6" s="72">
        <f t="shared" si="3"/>
        <v>235.5</v>
      </c>
      <c r="F6" s="72">
        <f t="shared" si="3"/>
        <v>0</v>
      </c>
      <c r="G6" s="72">
        <f t="shared" si="3"/>
        <v>22</v>
      </c>
      <c r="H6" s="72">
        <f t="shared" si="3"/>
        <v>41.1</v>
      </c>
      <c r="I6" s="87">
        <f t="shared" si="1"/>
        <v>0.17452229299363059</v>
      </c>
      <c r="J6" s="87">
        <f>IF(F6&gt;0,H6/F6,0)</f>
        <v>0</v>
      </c>
      <c r="K6" s="72">
        <f>K7+K8+K9</f>
        <v>46.2</v>
      </c>
      <c r="L6" s="87">
        <f t="shared" ref="L6:L40" si="4">IF(K6&gt;0,H6/K6,0)</f>
        <v>0.88961038961038963</v>
      </c>
      <c r="M6" s="72">
        <f>M7+M8+M9</f>
        <v>19.100000000000001</v>
      </c>
      <c r="N6" s="72">
        <f>N7+N8+N9</f>
        <v>9.6</v>
      </c>
      <c r="O6" s="87">
        <f t="shared" si="2"/>
        <v>1.9895833333333335</v>
      </c>
      <c r="P6" s="72">
        <f>P7+P8+P9</f>
        <v>0</v>
      </c>
      <c r="Q6" s="72">
        <f>Q7+Q8+Q9</f>
        <v>0</v>
      </c>
      <c r="R6" s="72">
        <f>R7+R8+R9</f>
        <v>0</v>
      </c>
    </row>
    <row r="7" spans="1:18" ht="18" customHeight="1">
      <c r="A7" s="10" t="s">
        <v>44</v>
      </c>
      <c r="B7" s="13">
        <v>1010201001</v>
      </c>
      <c r="C7" s="71">
        <v>235.5</v>
      </c>
      <c r="D7" s="68"/>
      <c r="E7" s="71">
        <f>C7+D7</f>
        <v>235.5</v>
      </c>
      <c r="F7" s="71"/>
      <c r="G7" s="68">
        <v>22</v>
      </c>
      <c r="H7" s="68">
        <f>G7+M7</f>
        <v>41.1</v>
      </c>
      <c r="I7" s="77">
        <f t="shared" si="1"/>
        <v>0.17452229299363059</v>
      </c>
      <c r="J7" s="77">
        <f t="shared" ref="J7:J38" si="5">IF(F7&gt;0,H7/F7,0)</f>
        <v>0</v>
      </c>
      <c r="K7" s="68">
        <v>46.2</v>
      </c>
      <c r="L7" s="77">
        <f t="shared" si="4"/>
        <v>0.88961038961038963</v>
      </c>
      <c r="M7" s="68">
        <v>19.100000000000001</v>
      </c>
      <c r="N7" s="68">
        <v>9.6</v>
      </c>
      <c r="O7" s="77">
        <f t="shared" si="2"/>
        <v>1.9895833333333335</v>
      </c>
      <c r="P7" s="71"/>
      <c r="Q7" s="71"/>
      <c r="R7" s="71"/>
    </row>
    <row r="8" spans="1:18" ht="18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5"/>
        <v>0</v>
      </c>
      <c r="K8" s="71"/>
      <c r="L8" s="77">
        <f>IF(K8&gt;0,H8/K8,0)</f>
        <v>0</v>
      </c>
      <c r="M8" s="71"/>
      <c r="N8" s="71"/>
      <c r="O8" s="77">
        <f>IF(N8&gt;0,M8/N8,0)</f>
        <v>0</v>
      </c>
      <c r="P8" s="71"/>
      <c r="Q8" s="71"/>
      <c r="R8" s="71"/>
    </row>
    <row r="9" spans="1:18" ht="18">
      <c r="A9" s="10" t="s">
        <v>42</v>
      </c>
      <c r="B9" s="13">
        <v>1010203001</v>
      </c>
      <c r="C9" s="71"/>
      <c r="D9" s="71"/>
      <c r="E9" s="71">
        <f>C9+D9</f>
        <v>0</v>
      </c>
      <c r="F9" s="71"/>
      <c r="G9" s="71"/>
      <c r="H9" s="68">
        <f>G9+M9</f>
        <v>0</v>
      </c>
      <c r="I9" s="77">
        <f t="shared" si="1"/>
        <v>0</v>
      </c>
      <c r="J9" s="77">
        <f t="shared" si="5"/>
        <v>0</v>
      </c>
      <c r="K9" s="71"/>
      <c r="L9" s="77">
        <f t="shared" si="4"/>
        <v>0</v>
      </c>
      <c r="M9" s="71"/>
      <c r="N9" s="71"/>
      <c r="O9" s="77">
        <f t="shared" si="2"/>
        <v>0</v>
      </c>
      <c r="P9" s="71"/>
      <c r="Q9" s="71"/>
      <c r="R9" s="71"/>
    </row>
    <row r="10" spans="1:18" ht="30.75" customHeight="1">
      <c r="A10" s="11" t="s">
        <v>48</v>
      </c>
      <c r="B10" s="19">
        <v>1030200001</v>
      </c>
      <c r="C10" s="72">
        <f t="shared" ref="C10" si="6">SUM(C11:C14)</f>
        <v>790.7</v>
      </c>
      <c r="D10" s="72">
        <f t="shared" ref="D10:H10" si="7">SUM(D11:D14)</f>
        <v>0</v>
      </c>
      <c r="E10" s="72">
        <f t="shared" si="7"/>
        <v>790.7</v>
      </c>
      <c r="F10" s="72">
        <f t="shared" si="7"/>
        <v>0</v>
      </c>
      <c r="G10" s="72">
        <f>SUM(G11:G14)</f>
        <v>100.7</v>
      </c>
      <c r="H10" s="72">
        <f t="shared" si="7"/>
        <v>213</v>
      </c>
      <c r="I10" s="66">
        <f t="shared" si="1"/>
        <v>0.26938156064246871</v>
      </c>
      <c r="J10" s="66">
        <f>IF(F10&gt;0,H10/F10,0)</f>
        <v>0</v>
      </c>
      <c r="K10" s="72">
        <f>SUM(K11:K14)</f>
        <v>187.20000000000002</v>
      </c>
      <c r="L10" s="66">
        <f t="shared" si="4"/>
        <v>1.1378205128205128</v>
      </c>
      <c r="M10" s="72">
        <f>SUM(M11:M14)</f>
        <v>112.3</v>
      </c>
      <c r="N10" s="72">
        <f>SUM(N11:N14)</f>
        <v>119.2</v>
      </c>
      <c r="O10" s="66">
        <f t="shared" si="2"/>
        <v>0.94211409395973145</v>
      </c>
      <c r="P10" s="72">
        <f>SUM(P11:P14)</f>
        <v>0</v>
      </c>
      <c r="Q10" s="72">
        <f>SUM(Q11:Q14)</f>
        <v>0</v>
      </c>
      <c r="R10" s="72">
        <f>SUM(R11:R14)</f>
        <v>0</v>
      </c>
    </row>
    <row r="11" spans="1:18" ht="18.75" customHeight="1">
      <c r="A11" s="12" t="s">
        <v>49</v>
      </c>
      <c r="B11" s="12">
        <v>1030223101</v>
      </c>
      <c r="C11" s="71">
        <v>374.5</v>
      </c>
      <c r="D11" s="71"/>
      <c r="E11" s="67">
        <f>C11+D11</f>
        <v>374.5</v>
      </c>
      <c r="F11" s="67"/>
      <c r="G11" s="71">
        <v>52.4</v>
      </c>
      <c r="H11" s="69">
        <f>G11+M11</f>
        <v>109.5</v>
      </c>
      <c r="I11" s="70">
        <f t="shared" si="1"/>
        <v>0.2923898531375167</v>
      </c>
      <c r="J11" s="70">
        <f>IF(F11&gt;0,H11/F11,0)</f>
        <v>0</v>
      </c>
      <c r="K11" s="71">
        <v>89.9</v>
      </c>
      <c r="L11" s="70">
        <f t="shared" si="4"/>
        <v>1.2180200222469411</v>
      </c>
      <c r="M11" s="71">
        <v>57.1</v>
      </c>
      <c r="N11" s="71">
        <v>58.1</v>
      </c>
      <c r="O11" s="70">
        <f t="shared" si="2"/>
        <v>0.98278829604130813</v>
      </c>
      <c r="P11" s="71"/>
      <c r="Q11" s="71"/>
      <c r="R11" s="71"/>
    </row>
    <row r="12" spans="1:18" ht="18.75" customHeight="1">
      <c r="A12" s="12" t="s">
        <v>50</v>
      </c>
      <c r="B12" s="12">
        <v>1030224101</v>
      </c>
      <c r="C12" s="71">
        <v>2.6</v>
      </c>
      <c r="D12" s="71"/>
      <c r="E12" s="67">
        <f>C12+D12</f>
        <v>2.6</v>
      </c>
      <c r="F12" s="67"/>
      <c r="G12" s="71">
        <v>0.2</v>
      </c>
      <c r="H12" s="69">
        <f>G12+M12</f>
        <v>0.4</v>
      </c>
      <c r="I12" s="70">
        <f t="shared" si="1"/>
        <v>0.15384615384615385</v>
      </c>
      <c r="J12" s="70">
        <f>IF(F12&gt;0,H12/F12,0)</f>
        <v>0</v>
      </c>
      <c r="K12" s="71">
        <v>0.6</v>
      </c>
      <c r="L12" s="70">
        <f t="shared" si="4"/>
        <v>0.66666666666666674</v>
      </c>
      <c r="M12" s="71">
        <v>0.2</v>
      </c>
      <c r="N12" s="71">
        <v>0.4</v>
      </c>
      <c r="O12" s="70">
        <f t="shared" si="2"/>
        <v>0.5</v>
      </c>
      <c r="P12" s="71"/>
      <c r="Q12" s="71"/>
      <c r="R12" s="71"/>
    </row>
    <row r="13" spans="1:18" ht="18" customHeight="1">
      <c r="A13" s="12" t="s">
        <v>51</v>
      </c>
      <c r="B13" s="12">
        <v>1030225101</v>
      </c>
      <c r="C13" s="71">
        <v>463</v>
      </c>
      <c r="D13" s="71"/>
      <c r="E13" s="67">
        <f>C13+D13</f>
        <v>463</v>
      </c>
      <c r="F13" s="67"/>
      <c r="G13" s="71">
        <v>53.4</v>
      </c>
      <c r="H13" s="69">
        <f>G13+M13</f>
        <v>117.1</v>
      </c>
      <c r="I13" s="70">
        <f t="shared" si="1"/>
        <v>0.2529157667386609</v>
      </c>
      <c r="J13" s="70">
        <f>IF(F13&gt;0,H13/F13,0)</f>
        <v>0</v>
      </c>
      <c r="K13" s="71">
        <v>108.8</v>
      </c>
      <c r="L13" s="70">
        <f t="shared" si="4"/>
        <v>1.0762867647058822</v>
      </c>
      <c r="M13" s="71">
        <v>63.7</v>
      </c>
      <c r="N13" s="71">
        <v>69.5</v>
      </c>
      <c r="O13" s="70">
        <f t="shared" si="2"/>
        <v>0.91654676258992807</v>
      </c>
      <c r="P13" s="71"/>
      <c r="Q13" s="71"/>
      <c r="R13" s="71"/>
    </row>
    <row r="14" spans="1:18" ht="18" customHeight="1">
      <c r="A14" s="12" t="s">
        <v>52</v>
      </c>
      <c r="B14" s="12">
        <v>1030226101</v>
      </c>
      <c r="C14" s="71">
        <v>-49.4</v>
      </c>
      <c r="D14" s="71"/>
      <c r="E14" s="67">
        <f>C14+D14</f>
        <v>-49.4</v>
      </c>
      <c r="F14" s="67"/>
      <c r="G14" s="71">
        <v>-5.3</v>
      </c>
      <c r="H14" s="69">
        <f>G14+M14</f>
        <v>-14</v>
      </c>
      <c r="I14" s="70">
        <f>H14/E14</f>
        <v>0.2834008097165992</v>
      </c>
      <c r="J14" s="70">
        <f>IF(F14&gt;0,H14/F14,0)</f>
        <v>0</v>
      </c>
      <c r="K14" s="71">
        <v>-12.1</v>
      </c>
      <c r="L14" s="70">
        <f t="shared" si="4"/>
        <v>0</v>
      </c>
      <c r="M14" s="71">
        <v>-8.6999999999999993</v>
      </c>
      <c r="N14" s="71">
        <v>-8.8000000000000007</v>
      </c>
      <c r="O14" s="70">
        <f t="shared" si="2"/>
        <v>0</v>
      </c>
      <c r="P14" s="71"/>
      <c r="Q14" s="71"/>
      <c r="R14" s="71"/>
    </row>
    <row r="15" spans="1:18" ht="18">
      <c r="A15" s="9" t="s">
        <v>70</v>
      </c>
      <c r="B15" s="30">
        <v>1050000000</v>
      </c>
      <c r="C15" s="72">
        <f t="shared" ref="C15" si="8">C16</f>
        <v>1.8</v>
      </c>
      <c r="D15" s="73">
        <f t="shared" ref="D15:H15" si="9">D16</f>
        <v>0</v>
      </c>
      <c r="E15" s="73">
        <f t="shared" si="9"/>
        <v>1.8</v>
      </c>
      <c r="F15" s="73">
        <f t="shared" si="9"/>
        <v>0</v>
      </c>
      <c r="G15" s="72">
        <f>G16</f>
        <v>0</v>
      </c>
      <c r="H15" s="73">
        <f t="shared" si="9"/>
        <v>0</v>
      </c>
      <c r="I15" s="87">
        <f t="shared" si="1"/>
        <v>0</v>
      </c>
      <c r="J15" s="87">
        <f t="shared" si="5"/>
        <v>0</v>
      </c>
      <c r="K15" s="72">
        <f>K16</f>
        <v>1.6</v>
      </c>
      <c r="L15" s="87">
        <f t="shared" si="4"/>
        <v>0</v>
      </c>
      <c r="M15" s="72">
        <f>M16</f>
        <v>0</v>
      </c>
      <c r="N15" s="72">
        <f>N16</f>
        <v>0</v>
      </c>
      <c r="O15" s="87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</row>
    <row r="16" spans="1:18" ht="18">
      <c r="A16" s="13" t="s">
        <v>7</v>
      </c>
      <c r="B16" s="13">
        <v>1050300001</v>
      </c>
      <c r="C16" s="71">
        <v>1.8</v>
      </c>
      <c r="D16" s="68"/>
      <c r="E16" s="71">
        <f>C16+D16</f>
        <v>1.8</v>
      </c>
      <c r="F16" s="71"/>
      <c r="G16" s="71"/>
      <c r="H16" s="68">
        <f>G16+M16</f>
        <v>0</v>
      </c>
      <c r="I16" s="77">
        <f t="shared" si="1"/>
        <v>0</v>
      </c>
      <c r="J16" s="77">
        <f t="shared" si="5"/>
        <v>0</v>
      </c>
      <c r="K16" s="71">
        <v>1.6</v>
      </c>
      <c r="L16" s="77">
        <f t="shared" si="4"/>
        <v>0</v>
      </c>
      <c r="M16" s="71"/>
      <c r="N16" s="71"/>
      <c r="O16" s="77">
        <f t="shared" si="2"/>
        <v>0</v>
      </c>
      <c r="P16" s="71"/>
      <c r="Q16" s="71"/>
      <c r="R16" s="71"/>
    </row>
    <row r="17" spans="1:20" ht="18">
      <c r="A17" s="9" t="s">
        <v>71</v>
      </c>
      <c r="B17" s="30">
        <v>1060000000</v>
      </c>
      <c r="C17" s="72">
        <f t="shared" ref="C17" si="10">C18+C21</f>
        <v>69</v>
      </c>
      <c r="D17" s="73">
        <f t="shared" ref="D17:H17" si="11">D18+D21</f>
        <v>0</v>
      </c>
      <c r="E17" s="73">
        <f t="shared" si="11"/>
        <v>69</v>
      </c>
      <c r="F17" s="73">
        <f t="shared" si="11"/>
        <v>0</v>
      </c>
      <c r="G17" s="72">
        <f>G18+G21</f>
        <v>-1.9000000000000004</v>
      </c>
      <c r="H17" s="73">
        <f t="shared" si="11"/>
        <v>5.6000000000000005</v>
      </c>
      <c r="I17" s="87">
        <f t="shared" si="1"/>
        <v>8.115942028985508E-2</v>
      </c>
      <c r="J17" s="87">
        <f t="shared" si="5"/>
        <v>0</v>
      </c>
      <c r="K17" s="72">
        <f>K18+K21</f>
        <v>19.100000000000001</v>
      </c>
      <c r="L17" s="87">
        <f t="shared" si="4"/>
        <v>0.29319371727748694</v>
      </c>
      <c r="M17" s="72">
        <f>M18+M21</f>
        <v>7.5000000000000009</v>
      </c>
      <c r="N17" s="72">
        <f>N18+N21</f>
        <v>17.099999999999998</v>
      </c>
      <c r="O17" s="87">
        <f t="shared" si="2"/>
        <v>0.43859649122807026</v>
      </c>
      <c r="P17" s="72">
        <f>P18+P21</f>
        <v>26.2</v>
      </c>
      <c r="Q17" s="72">
        <f>Q18+Q21</f>
        <v>33.700000000000003</v>
      </c>
      <c r="R17" s="72">
        <f>R18+R21</f>
        <v>0</v>
      </c>
    </row>
    <row r="18" spans="1:20" ht="18">
      <c r="A18" s="13" t="s">
        <v>13</v>
      </c>
      <c r="B18" s="13">
        <v>1060600000</v>
      </c>
      <c r="C18" s="71">
        <f t="shared" ref="C18" si="12">C19+C20</f>
        <v>58</v>
      </c>
      <c r="D18" s="68">
        <f t="shared" ref="D18:H18" si="13">D19+D20</f>
        <v>0</v>
      </c>
      <c r="E18" s="68">
        <f t="shared" si="13"/>
        <v>58</v>
      </c>
      <c r="F18" s="68">
        <f t="shared" si="13"/>
        <v>0</v>
      </c>
      <c r="G18" s="71">
        <f>G19+G20</f>
        <v>-1.4000000000000004</v>
      </c>
      <c r="H18" s="68">
        <f t="shared" si="13"/>
        <v>5.9</v>
      </c>
      <c r="I18" s="77">
        <f t="shared" si="1"/>
        <v>0.10172413793103449</v>
      </c>
      <c r="J18" s="77">
        <f t="shared" si="5"/>
        <v>0</v>
      </c>
      <c r="K18" s="71">
        <f>K19+K20</f>
        <v>19</v>
      </c>
      <c r="L18" s="77">
        <f t="shared" si="4"/>
        <v>0.31052631578947371</v>
      </c>
      <c r="M18" s="71">
        <f>M19+M20</f>
        <v>7.3000000000000007</v>
      </c>
      <c r="N18" s="71">
        <f>N19+N20</f>
        <v>16.899999999999999</v>
      </c>
      <c r="O18" s="77">
        <f t="shared" si="2"/>
        <v>0.43195266272189359</v>
      </c>
      <c r="P18" s="71">
        <f>P19+P20</f>
        <v>13</v>
      </c>
      <c r="Q18" s="71">
        <f>Q19+Q20</f>
        <v>14.2</v>
      </c>
      <c r="R18" s="71">
        <f>R19+R20</f>
        <v>0</v>
      </c>
    </row>
    <row r="19" spans="1:20" ht="18">
      <c r="A19" s="13" t="s">
        <v>100</v>
      </c>
      <c r="B19" s="13">
        <v>1060603310</v>
      </c>
      <c r="C19" s="71">
        <v>35</v>
      </c>
      <c r="D19" s="68"/>
      <c r="E19" s="71">
        <f>C19+D19</f>
        <v>35</v>
      </c>
      <c r="F19" s="71"/>
      <c r="G19" s="71">
        <v>2.2999999999999998</v>
      </c>
      <c r="H19" s="68">
        <f>G19+M19</f>
        <v>6.7</v>
      </c>
      <c r="I19" s="77">
        <f t="shared" si="1"/>
        <v>0.19142857142857142</v>
      </c>
      <c r="J19" s="77">
        <f t="shared" si="5"/>
        <v>0</v>
      </c>
      <c r="K19" s="71">
        <v>18.600000000000001</v>
      </c>
      <c r="L19" s="77">
        <f t="shared" si="4"/>
        <v>0.36021505376344082</v>
      </c>
      <c r="M19" s="71">
        <v>4.4000000000000004</v>
      </c>
      <c r="N19" s="71">
        <v>16.899999999999999</v>
      </c>
      <c r="O19" s="77">
        <f t="shared" si="2"/>
        <v>0.26035502958579887</v>
      </c>
      <c r="P19" s="71"/>
      <c r="Q19" s="71"/>
      <c r="R19" s="71"/>
    </row>
    <row r="20" spans="1:20" ht="18">
      <c r="A20" s="13" t="s">
        <v>101</v>
      </c>
      <c r="B20" s="13">
        <v>1060604310</v>
      </c>
      <c r="C20" s="71">
        <v>23</v>
      </c>
      <c r="D20" s="68"/>
      <c r="E20" s="71">
        <f>C20+D20</f>
        <v>23</v>
      </c>
      <c r="F20" s="71"/>
      <c r="G20" s="71">
        <v>-3.7</v>
      </c>
      <c r="H20" s="68">
        <f>G20+M20</f>
        <v>-0.80000000000000027</v>
      </c>
      <c r="I20" s="77">
        <f t="shared" si="1"/>
        <v>-3.4782608695652188E-2</v>
      </c>
      <c r="J20" s="77">
        <f t="shared" si="5"/>
        <v>0</v>
      </c>
      <c r="K20" s="71">
        <v>0.4</v>
      </c>
      <c r="L20" s="77">
        <f t="shared" si="4"/>
        <v>-2.0000000000000004</v>
      </c>
      <c r="M20" s="71">
        <v>2.9</v>
      </c>
      <c r="N20" s="71"/>
      <c r="O20" s="77">
        <f t="shared" si="2"/>
        <v>0</v>
      </c>
      <c r="P20" s="71">
        <v>13</v>
      </c>
      <c r="Q20" s="71">
        <v>14.2</v>
      </c>
      <c r="R20" s="71"/>
    </row>
    <row r="21" spans="1:20" ht="18">
      <c r="A21" s="13" t="s">
        <v>12</v>
      </c>
      <c r="B21" s="13">
        <v>1060103010</v>
      </c>
      <c r="C21" s="71">
        <v>11</v>
      </c>
      <c r="D21" s="68"/>
      <c r="E21" s="71">
        <f>C21+D21</f>
        <v>11</v>
      </c>
      <c r="F21" s="71"/>
      <c r="G21" s="71">
        <v>-0.5</v>
      </c>
      <c r="H21" s="68">
        <f>G21+M21</f>
        <v>-0.3</v>
      </c>
      <c r="I21" s="77">
        <f t="shared" si="1"/>
        <v>-2.7272727272727271E-2</v>
      </c>
      <c r="J21" s="77">
        <f t="shared" si="5"/>
        <v>0</v>
      </c>
      <c r="K21" s="71">
        <v>0.1</v>
      </c>
      <c r="L21" s="77">
        <f t="shared" si="4"/>
        <v>-2.9999999999999996</v>
      </c>
      <c r="M21" s="71">
        <v>0.2</v>
      </c>
      <c r="N21" s="71">
        <v>0.2</v>
      </c>
      <c r="O21" s="77">
        <f t="shared" si="2"/>
        <v>1</v>
      </c>
      <c r="P21" s="71">
        <v>13.2</v>
      </c>
      <c r="Q21" s="71">
        <v>19.5</v>
      </c>
      <c r="R21" s="71"/>
      <c r="S21" s="129"/>
      <c r="T21" s="158"/>
    </row>
    <row r="22" spans="1:20" ht="18">
      <c r="A22" s="9" t="s">
        <v>72</v>
      </c>
      <c r="B22" s="30">
        <v>1080402001</v>
      </c>
      <c r="C22" s="72">
        <v>2</v>
      </c>
      <c r="D22" s="73"/>
      <c r="E22" s="72">
        <f>C22+D22</f>
        <v>2</v>
      </c>
      <c r="F22" s="72"/>
      <c r="G22" s="72"/>
      <c r="H22" s="73">
        <f>G22+M22</f>
        <v>0</v>
      </c>
      <c r="I22" s="87">
        <f t="shared" si="1"/>
        <v>0</v>
      </c>
      <c r="J22" s="87">
        <f t="shared" si="5"/>
        <v>0</v>
      </c>
      <c r="K22" s="72">
        <v>0.2</v>
      </c>
      <c r="L22" s="87">
        <f t="shared" si="4"/>
        <v>0</v>
      </c>
      <c r="M22" s="72"/>
      <c r="N22" s="72">
        <v>0.2</v>
      </c>
      <c r="O22" s="87">
        <f t="shared" si="2"/>
        <v>0</v>
      </c>
      <c r="P22" s="72"/>
      <c r="Q22" s="72"/>
      <c r="R22" s="72"/>
    </row>
    <row r="23" spans="1:20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5"/>
        <v>0</v>
      </c>
      <c r="K23" s="72"/>
      <c r="L23" s="87">
        <f t="shared" si="4"/>
        <v>0</v>
      </c>
      <c r="M23" s="72"/>
      <c r="N23" s="72"/>
      <c r="O23" s="87">
        <f t="shared" si="2"/>
        <v>0</v>
      </c>
      <c r="P23" s="72"/>
      <c r="Q23" s="72"/>
      <c r="R23" s="72"/>
    </row>
    <row r="24" spans="1:20" ht="18">
      <c r="A24" s="32" t="s">
        <v>22</v>
      </c>
      <c r="B24" s="32"/>
      <c r="C24" s="76">
        <f t="shared" ref="C24:H24" si="14">C25+C28+C32+C31+C30+C29</f>
        <v>150</v>
      </c>
      <c r="D24" s="76">
        <f t="shared" si="14"/>
        <v>0</v>
      </c>
      <c r="E24" s="76">
        <f t="shared" si="14"/>
        <v>150</v>
      </c>
      <c r="F24" s="76">
        <f t="shared" si="14"/>
        <v>0</v>
      </c>
      <c r="G24" s="76">
        <f>G25+G28+G32+G31+G30+G29</f>
        <v>13.8</v>
      </c>
      <c r="H24" s="76">
        <f t="shared" si="14"/>
        <v>102.5</v>
      </c>
      <c r="I24" s="90">
        <f t="shared" si="1"/>
        <v>0.68333333333333335</v>
      </c>
      <c r="J24" s="90">
        <f t="shared" si="5"/>
        <v>0</v>
      </c>
      <c r="K24" s="76">
        <f>K25+K28+K32+K31+K30+K29</f>
        <v>69.7</v>
      </c>
      <c r="L24" s="90">
        <f t="shared" si="4"/>
        <v>1.4705882352941175</v>
      </c>
      <c r="M24" s="76">
        <f>M25+M28+M32+M31+M30+M29</f>
        <v>88.7</v>
      </c>
      <c r="N24" s="76">
        <f>N25+N28+N32+N31+N30+N29</f>
        <v>47</v>
      </c>
      <c r="O24" s="90">
        <f t="shared" si="2"/>
        <v>1.8872340425531915</v>
      </c>
      <c r="P24" s="76">
        <f>P25+P28+P32+P31+P30</f>
        <v>0</v>
      </c>
      <c r="Q24" s="76">
        <f>Q25+Q28+Q32+Q31+Q30</f>
        <v>0</v>
      </c>
      <c r="R24" s="76">
        <f>R25+R28+R32+R31+R30</f>
        <v>0</v>
      </c>
    </row>
    <row r="25" spans="1:20" ht="17.25" customHeight="1">
      <c r="A25" s="9" t="s">
        <v>74</v>
      </c>
      <c r="B25" s="30">
        <v>1110000000</v>
      </c>
      <c r="C25" s="72">
        <f t="shared" ref="C25:H25" si="15">C26+C27</f>
        <v>70</v>
      </c>
      <c r="D25" s="72">
        <f t="shared" si="15"/>
        <v>0</v>
      </c>
      <c r="E25" s="72">
        <f t="shared" si="15"/>
        <v>70</v>
      </c>
      <c r="F25" s="72">
        <f t="shared" si="15"/>
        <v>0</v>
      </c>
      <c r="G25" s="72">
        <f>G26+G27</f>
        <v>8.6</v>
      </c>
      <c r="H25" s="72">
        <f t="shared" si="15"/>
        <v>16.600000000000001</v>
      </c>
      <c r="I25" s="87">
        <f t="shared" si="1"/>
        <v>0.23714285714285716</v>
      </c>
      <c r="J25" s="87">
        <f t="shared" si="5"/>
        <v>0</v>
      </c>
      <c r="K25" s="72">
        <f>K26+K27</f>
        <v>12.6</v>
      </c>
      <c r="L25" s="87">
        <f t="shared" si="4"/>
        <v>1.3174603174603177</v>
      </c>
      <c r="M25" s="72">
        <f>M26+M27</f>
        <v>8</v>
      </c>
      <c r="N25" s="72">
        <f>N26+N27</f>
        <v>8.5</v>
      </c>
      <c r="O25" s="87">
        <f t="shared" si="2"/>
        <v>0.94117647058823528</v>
      </c>
      <c r="P25" s="72">
        <f>P26+P27</f>
        <v>0</v>
      </c>
      <c r="Q25" s="72">
        <f>Q26+Q27</f>
        <v>0</v>
      </c>
      <c r="R25" s="72">
        <f>R26+R27</f>
        <v>0</v>
      </c>
    </row>
    <row r="26" spans="1:20" ht="18.75" hidden="1" customHeight="1">
      <c r="A26" s="13" t="s">
        <v>18</v>
      </c>
      <c r="B26" s="13">
        <v>1110903510</v>
      </c>
      <c r="C26" s="71"/>
      <c r="D26" s="68"/>
      <c r="E26" s="71">
        <f t="shared" ref="E26:E31" si="16">C26+D26</f>
        <v>0</v>
      </c>
      <c r="F26" s="71"/>
      <c r="G26" s="71"/>
      <c r="H26" s="68">
        <f t="shared" ref="H26:H31" si="17">G26+M26</f>
        <v>0</v>
      </c>
      <c r="I26" s="77">
        <f t="shared" si="1"/>
        <v>0</v>
      </c>
      <c r="J26" s="77">
        <f t="shared" si="5"/>
        <v>0</v>
      </c>
      <c r="K26" s="71"/>
      <c r="L26" s="77">
        <f t="shared" si="4"/>
        <v>0</v>
      </c>
      <c r="M26" s="71"/>
      <c r="N26" s="71"/>
      <c r="O26" s="77">
        <f t="shared" si="2"/>
        <v>0</v>
      </c>
      <c r="P26" s="71"/>
      <c r="Q26" s="71"/>
      <c r="R26" s="71"/>
    </row>
    <row r="27" spans="1:20" ht="18">
      <c r="A27" s="33" t="s">
        <v>23</v>
      </c>
      <c r="B27" s="13">
        <v>1110904510</v>
      </c>
      <c r="C27" s="71">
        <v>70</v>
      </c>
      <c r="D27" s="68"/>
      <c r="E27" s="71">
        <f t="shared" si="16"/>
        <v>70</v>
      </c>
      <c r="F27" s="71"/>
      <c r="G27" s="71">
        <v>8.6</v>
      </c>
      <c r="H27" s="68">
        <f t="shared" si="17"/>
        <v>16.600000000000001</v>
      </c>
      <c r="I27" s="77">
        <f t="shared" si="1"/>
        <v>0.23714285714285716</v>
      </c>
      <c r="J27" s="77">
        <f t="shared" si="5"/>
        <v>0</v>
      </c>
      <c r="K27" s="71">
        <v>12.6</v>
      </c>
      <c r="L27" s="77">
        <f t="shared" si="4"/>
        <v>1.3174603174603177</v>
      </c>
      <c r="M27" s="71">
        <v>8</v>
      </c>
      <c r="N27" s="71">
        <v>8.5</v>
      </c>
      <c r="O27" s="77">
        <f t="shared" si="2"/>
        <v>0.94117647058823528</v>
      </c>
      <c r="P27" s="71"/>
      <c r="Q27" s="71"/>
      <c r="R27" s="71"/>
    </row>
    <row r="28" spans="1:20" ht="18">
      <c r="A28" s="9" t="s">
        <v>38</v>
      </c>
      <c r="B28" s="30">
        <v>1130299510</v>
      </c>
      <c r="C28" s="72"/>
      <c r="D28" s="72"/>
      <c r="E28" s="126">
        <f t="shared" si="16"/>
        <v>0</v>
      </c>
      <c r="F28" s="72"/>
      <c r="G28" s="72">
        <v>5.2</v>
      </c>
      <c r="H28" s="73">
        <f t="shared" si="17"/>
        <v>5.9</v>
      </c>
      <c r="I28" s="87">
        <f t="shared" si="1"/>
        <v>0</v>
      </c>
      <c r="J28" s="87">
        <f t="shared" si="5"/>
        <v>0</v>
      </c>
      <c r="K28" s="72">
        <v>57.1</v>
      </c>
      <c r="L28" s="87">
        <f t="shared" si="4"/>
        <v>0.10332749562171629</v>
      </c>
      <c r="M28" s="72">
        <v>0.7</v>
      </c>
      <c r="N28" s="72">
        <v>38.5</v>
      </c>
      <c r="O28" s="87">
        <f t="shared" si="2"/>
        <v>1.8181818181818181E-2</v>
      </c>
      <c r="P28" s="72"/>
      <c r="Q28" s="72"/>
      <c r="R28" s="72"/>
    </row>
    <row r="29" spans="1:20" ht="18">
      <c r="A29" s="9" t="s">
        <v>75</v>
      </c>
      <c r="B29" s="30">
        <v>1140205310</v>
      </c>
      <c r="C29" s="72"/>
      <c r="D29" s="72"/>
      <c r="E29" s="72">
        <f t="shared" si="16"/>
        <v>0</v>
      </c>
      <c r="F29" s="72"/>
      <c r="G29" s="72"/>
      <c r="H29" s="73">
        <f t="shared" si="17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4"/>
        <v>0</v>
      </c>
      <c r="M29" s="72"/>
      <c r="N29" s="72"/>
      <c r="O29" s="87">
        <f t="shared" si="2"/>
        <v>0</v>
      </c>
      <c r="P29" s="72"/>
      <c r="Q29" s="72"/>
      <c r="R29" s="72"/>
    </row>
    <row r="30" spans="1:20" ht="18">
      <c r="A30" s="9" t="s">
        <v>76</v>
      </c>
      <c r="B30" s="30">
        <v>1140601410</v>
      </c>
      <c r="C30" s="72"/>
      <c r="D30" s="72"/>
      <c r="E30" s="72">
        <f t="shared" si="16"/>
        <v>0</v>
      </c>
      <c r="F30" s="72"/>
      <c r="G30" s="72"/>
      <c r="H30" s="73">
        <f t="shared" si="17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4"/>
        <v>0</v>
      </c>
      <c r="M30" s="72"/>
      <c r="N30" s="72"/>
      <c r="O30" s="87">
        <f t="shared" si="2"/>
        <v>0</v>
      </c>
      <c r="P30" s="72"/>
      <c r="Q30" s="72"/>
      <c r="R30" s="72"/>
    </row>
    <row r="31" spans="1:20" ht="18">
      <c r="A31" s="9" t="s">
        <v>79</v>
      </c>
      <c r="B31" s="30">
        <v>1169005010</v>
      </c>
      <c r="C31" s="72"/>
      <c r="D31" s="72"/>
      <c r="E31" s="72">
        <f t="shared" si="16"/>
        <v>0</v>
      </c>
      <c r="F31" s="72"/>
      <c r="G31" s="72"/>
      <c r="H31" s="73">
        <f t="shared" si="17"/>
        <v>0</v>
      </c>
      <c r="I31" s="87">
        <f>IF(E31&gt;0,H31/E31,0)</f>
        <v>0</v>
      </c>
      <c r="J31" s="87">
        <f>IF(F31&gt;0,H31/F31,0)</f>
        <v>0</v>
      </c>
      <c r="K31" s="72"/>
      <c r="L31" s="87">
        <f t="shared" si="4"/>
        <v>0</v>
      </c>
      <c r="M31" s="72"/>
      <c r="N31" s="72"/>
      <c r="O31" s="87">
        <f t="shared" si="2"/>
        <v>0</v>
      </c>
      <c r="P31" s="72"/>
      <c r="Q31" s="72"/>
      <c r="R31" s="72"/>
    </row>
    <row r="32" spans="1:20" ht="18">
      <c r="A32" s="9" t="s">
        <v>69</v>
      </c>
      <c r="B32" s="30">
        <v>1170000000</v>
      </c>
      <c r="C32" s="72">
        <f>SUM(C33:C35)</f>
        <v>80</v>
      </c>
      <c r="D32" s="72">
        <f t="shared" ref="D32:H32" si="18">SUM(D33:D35)</f>
        <v>0</v>
      </c>
      <c r="E32" s="72">
        <f t="shared" si="18"/>
        <v>80</v>
      </c>
      <c r="F32" s="72">
        <f t="shared" si="18"/>
        <v>0</v>
      </c>
      <c r="G32" s="72">
        <f t="shared" si="18"/>
        <v>0</v>
      </c>
      <c r="H32" s="72">
        <f t="shared" si="18"/>
        <v>80</v>
      </c>
      <c r="I32" s="87">
        <f>IF(E32&gt;0,H32/E32,0)</f>
        <v>1</v>
      </c>
      <c r="J32" s="87">
        <f>IF(F32&gt;0,H32/F32,0)</f>
        <v>0</v>
      </c>
      <c r="K32" s="72">
        <f t="shared" ref="K32" si="19">SUM(K33:K35)</f>
        <v>0</v>
      </c>
      <c r="L32" s="87">
        <f t="shared" si="4"/>
        <v>0</v>
      </c>
      <c r="M32" s="72">
        <f t="shared" ref="M32:N32" si="20">SUM(M33:M35)</f>
        <v>80</v>
      </c>
      <c r="N32" s="72">
        <f t="shared" si="20"/>
        <v>0</v>
      </c>
      <c r="O32" s="87">
        <f t="shared" si="2"/>
        <v>0</v>
      </c>
      <c r="P32" s="72">
        <f t="shared" ref="P32:R32" si="21">SUM(P33:P34)</f>
        <v>0</v>
      </c>
      <c r="Q32" s="72">
        <f>SUM(Q33:Q34)</f>
        <v>0</v>
      </c>
      <c r="R32" s="72">
        <f t="shared" si="21"/>
        <v>0</v>
      </c>
    </row>
    <row r="33" spans="1:19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5"/>
        <v>0</v>
      </c>
      <c r="K33" s="71"/>
      <c r="L33" s="77">
        <f t="shared" si="4"/>
        <v>0</v>
      </c>
      <c r="M33" s="71"/>
      <c r="N33" s="71"/>
      <c r="O33" s="77">
        <f t="shared" ref="O33:O40" si="22">IF(N33&gt;0,M33/N33,0)</f>
        <v>0</v>
      </c>
      <c r="P33" s="77"/>
      <c r="Q33" s="77"/>
      <c r="R33" s="77"/>
    </row>
    <row r="34" spans="1:19" ht="18">
      <c r="A34" s="13" t="s">
        <v>33</v>
      </c>
      <c r="B34" s="13">
        <v>1170505010</v>
      </c>
      <c r="C34" s="71"/>
      <c r="D34" s="82"/>
      <c r="E34" s="71">
        <f>C34+D34</f>
        <v>0</v>
      </c>
      <c r="F34" s="71"/>
      <c r="G34" s="71"/>
      <c r="H34" s="68">
        <f>G34+M34</f>
        <v>0</v>
      </c>
      <c r="I34" s="77">
        <f>IF(E34&gt;0,H34/E34,0)</f>
        <v>0</v>
      </c>
      <c r="J34" s="77">
        <f>IF(F34&gt;0,H34/F34,0)</f>
        <v>0</v>
      </c>
      <c r="K34" s="71"/>
      <c r="L34" s="77">
        <f>IF(K34&gt;0,H34/K34,0)</f>
        <v>0</v>
      </c>
      <c r="M34" s="71"/>
      <c r="N34" s="71"/>
      <c r="O34" s="77">
        <f t="shared" si="22"/>
        <v>0</v>
      </c>
      <c r="P34" s="71"/>
      <c r="Q34" s="71"/>
      <c r="R34" s="71"/>
    </row>
    <row r="35" spans="1:19" ht="18.75">
      <c r="A35" s="186" t="s">
        <v>115</v>
      </c>
      <c r="B35" s="186">
        <v>1171503010</v>
      </c>
      <c r="C35" s="71">
        <v>80</v>
      </c>
      <c r="D35" s="82"/>
      <c r="E35" s="71">
        <f>C35+D35</f>
        <v>80</v>
      </c>
      <c r="F35" s="71"/>
      <c r="G35" s="71"/>
      <c r="H35" s="68">
        <f>G35+M35</f>
        <v>80</v>
      </c>
      <c r="I35" s="77">
        <f>IF(E35&gt;0,H35/E35,0)</f>
        <v>1</v>
      </c>
      <c r="J35" s="77"/>
      <c r="K35" s="71"/>
      <c r="L35" s="77">
        <f>IF(K35&gt;0,H35/K35,0)</f>
        <v>0</v>
      </c>
      <c r="M35" s="71">
        <v>80</v>
      </c>
      <c r="N35" s="71"/>
      <c r="O35" s="77">
        <f t="shared" si="22"/>
        <v>0</v>
      </c>
      <c r="P35" s="71"/>
      <c r="Q35" s="71"/>
      <c r="R35" s="71"/>
    </row>
    <row r="36" spans="1:19" ht="18">
      <c r="A36" s="9" t="s">
        <v>6</v>
      </c>
      <c r="B36" s="9">
        <v>1000000000</v>
      </c>
      <c r="C36" s="78">
        <f t="shared" ref="C36:H36" si="23">C5+C24</f>
        <v>1249</v>
      </c>
      <c r="D36" s="78">
        <f t="shared" si="23"/>
        <v>0</v>
      </c>
      <c r="E36" s="78">
        <f t="shared" si="23"/>
        <v>1249</v>
      </c>
      <c r="F36" s="79">
        <f t="shared" si="23"/>
        <v>0</v>
      </c>
      <c r="G36" s="79">
        <f>G5+G24</f>
        <v>134.60000000000002</v>
      </c>
      <c r="H36" s="79">
        <f t="shared" si="23"/>
        <v>362.2</v>
      </c>
      <c r="I36" s="91">
        <f t="shared" si="1"/>
        <v>0.28999199359487587</v>
      </c>
      <c r="J36" s="91">
        <f t="shared" si="5"/>
        <v>0</v>
      </c>
      <c r="K36" s="79">
        <f>K5+K24</f>
        <v>324</v>
      </c>
      <c r="L36" s="91">
        <f t="shared" si="4"/>
        <v>1.1179012345679011</v>
      </c>
      <c r="M36" s="79">
        <f>M5+M24</f>
        <v>227.60000000000002</v>
      </c>
      <c r="N36" s="79">
        <f>N5+N24</f>
        <v>193.1</v>
      </c>
      <c r="O36" s="91">
        <f t="shared" si="22"/>
        <v>1.1786639047125842</v>
      </c>
      <c r="P36" s="79">
        <f>P5+P24</f>
        <v>26.2</v>
      </c>
      <c r="Q36" s="79">
        <f>Q5+Q24</f>
        <v>33.700000000000003</v>
      </c>
      <c r="R36" s="79">
        <f>R5+R24</f>
        <v>0</v>
      </c>
      <c r="S36" s="176"/>
    </row>
    <row r="37" spans="1:19" ht="18">
      <c r="A37" s="9" t="s">
        <v>92</v>
      </c>
      <c r="B37" s="9"/>
      <c r="C37" s="79">
        <f t="shared" ref="C37:H37" si="24">C36-C10</f>
        <v>458.29999999999995</v>
      </c>
      <c r="D37" s="88">
        <f t="shared" si="24"/>
        <v>0</v>
      </c>
      <c r="E37" s="79">
        <f t="shared" si="24"/>
        <v>458.29999999999995</v>
      </c>
      <c r="F37" s="79">
        <f t="shared" si="24"/>
        <v>0</v>
      </c>
      <c r="G37" s="79">
        <f>G36-G10</f>
        <v>33.90000000000002</v>
      </c>
      <c r="H37" s="79">
        <f t="shared" si="24"/>
        <v>149.19999999999999</v>
      </c>
      <c r="I37" s="91">
        <f>IF(E37&gt;0,H37/E37,0)</f>
        <v>0.32555094915993893</v>
      </c>
      <c r="J37" s="91">
        <f>IF(F37&gt;0,H37/F37,0)</f>
        <v>0</v>
      </c>
      <c r="K37" s="79">
        <f>K36-K10</f>
        <v>136.79999999999998</v>
      </c>
      <c r="L37" s="91">
        <f t="shared" si="4"/>
        <v>1.0906432748538013</v>
      </c>
      <c r="M37" s="79">
        <f>M36-M10</f>
        <v>115.30000000000003</v>
      </c>
      <c r="N37" s="79">
        <f>N36-N10</f>
        <v>73.899999999999991</v>
      </c>
      <c r="O37" s="91">
        <f t="shared" si="22"/>
        <v>1.5602165087956703</v>
      </c>
      <c r="P37" s="79"/>
      <c r="Q37" s="79"/>
      <c r="R37" s="79"/>
    </row>
    <row r="38" spans="1:19" ht="18">
      <c r="A38" s="13" t="s">
        <v>36</v>
      </c>
      <c r="B38" s="13">
        <v>2000000000</v>
      </c>
      <c r="C38" s="71">
        <v>3960.7</v>
      </c>
      <c r="D38" s="83">
        <f>419.85</f>
        <v>419.85</v>
      </c>
      <c r="E38" s="83">
        <f>C38+D38</f>
        <v>4380.55</v>
      </c>
      <c r="F38" s="71"/>
      <c r="G38" s="71">
        <v>579.5</v>
      </c>
      <c r="H38" s="68">
        <f>G38+M38</f>
        <v>871.4</v>
      </c>
      <c r="I38" s="77">
        <f t="shared" si="1"/>
        <v>0.19892479254888085</v>
      </c>
      <c r="J38" s="77">
        <f t="shared" si="5"/>
        <v>0</v>
      </c>
      <c r="K38" s="71">
        <v>750.8</v>
      </c>
      <c r="L38" s="77">
        <f t="shared" si="4"/>
        <v>1.1606286627597231</v>
      </c>
      <c r="M38" s="71">
        <v>291.89999999999998</v>
      </c>
      <c r="N38" s="71">
        <v>250.3</v>
      </c>
      <c r="O38" s="77">
        <f t="shared" si="22"/>
        <v>1.1662005593288054</v>
      </c>
      <c r="P38" s="71"/>
      <c r="Q38" s="71"/>
      <c r="R38" s="71"/>
      <c r="S38" s="139"/>
    </row>
    <row r="39" spans="1:19" ht="18">
      <c r="A39" s="13" t="s">
        <v>46</v>
      </c>
      <c r="B39" s="34" t="s">
        <v>37</v>
      </c>
      <c r="C39" s="71"/>
      <c r="D39" s="83"/>
      <c r="E39" s="71">
        <f>C39+D39</f>
        <v>0</v>
      </c>
      <c r="F39" s="71"/>
      <c r="G39" s="71"/>
      <c r="H39" s="68">
        <f>G39+M39</f>
        <v>0</v>
      </c>
      <c r="I39" s="77">
        <f>IF(E39&gt;0,H39/E39,0)</f>
        <v>0</v>
      </c>
      <c r="J39" s="77">
        <f>IF(F39&gt;0,H39/F39,0)</f>
        <v>0</v>
      </c>
      <c r="K39" s="71"/>
      <c r="L39" s="77">
        <f t="shared" si="4"/>
        <v>0</v>
      </c>
      <c r="M39" s="71"/>
      <c r="N39" s="71"/>
      <c r="O39" s="77">
        <f t="shared" si="22"/>
        <v>0</v>
      </c>
      <c r="P39" s="71"/>
      <c r="Q39" s="71"/>
      <c r="R39" s="71"/>
    </row>
    <row r="40" spans="1:19" ht="18">
      <c r="A40" s="9" t="s">
        <v>2</v>
      </c>
      <c r="B40" s="9">
        <v>0</v>
      </c>
      <c r="C40" s="78">
        <f t="shared" ref="C40:H40" si="25">C36+C38+C39</f>
        <v>5209.7</v>
      </c>
      <c r="D40" s="78">
        <f t="shared" si="25"/>
        <v>419.85</v>
      </c>
      <c r="E40" s="78">
        <f t="shared" si="25"/>
        <v>5629.55</v>
      </c>
      <c r="F40" s="79">
        <f t="shared" si="25"/>
        <v>0</v>
      </c>
      <c r="G40" s="79">
        <f t="shared" si="25"/>
        <v>714.1</v>
      </c>
      <c r="H40" s="79">
        <f t="shared" si="25"/>
        <v>1233.5999999999999</v>
      </c>
      <c r="I40" s="91">
        <f t="shared" si="1"/>
        <v>0.21912941531738769</v>
      </c>
      <c r="J40" s="91"/>
      <c r="K40" s="79">
        <f>K36+K38+K39</f>
        <v>1074.8</v>
      </c>
      <c r="L40" s="91">
        <f t="shared" si="4"/>
        <v>1.1477484183103832</v>
      </c>
      <c r="M40" s="79">
        <f>M36+M38+M39</f>
        <v>519.5</v>
      </c>
      <c r="N40" s="79">
        <f>N36+N38+N39</f>
        <v>443.4</v>
      </c>
      <c r="O40" s="91">
        <f t="shared" si="22"/>
        <v>1.1716283265674334</v>
      </c>
      <c r="P40" s="79">
        <f>P36+P38+P39</f>
        <v>26.2</v>
      </c>
      <c r="Q40" s="79">
        <f>Q36+Q38+Q39</f>
        <v>33.700000000000003</v>
      </c>
      <c r="R40" s="79">
        <f>R36+R38+R39</f>
        <v>0</v>
      </c>
    </row>
    <row r="41" spans="1:19" ht="18" customHeight="1">
      <c r="G41" s="5"/>
      <c r="I41" s="153"/>
    </row>
    <row r="42" spans="1:19">
      <c r="G42" s="6"/>
    </row>
  </sheetData>
  <mergeCells count="15"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</mergeCells>
  <phoneticPr fontId="0" type="noConversion"/>
  <pageMargins left="0.75" right="0.75" top="1" bottom="1" header="0.5" footer="0.5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Normal="100" workbookViewId="0">
      <pane xSplit="2" ySplit="6" topLeftCell="E7" activePane="bottomRight" state="frozen"/>
      <selection pane="topRight" activeCell="C1" sqref="C1"/>
      <selection pane="bottomLeft" activeCell="A15" sqref="A15"/>
      <selection pane="bottomRight" activeCell="A2" sqref="A2:R2"/>
    </sheetView>
  </sheetViews>
  <sheetFormatPr defaultRowHeight="12.75"/>
  <cols>
    <col min="1" max="1" width="40.5703125" customWidth="1"/>
    <col min="2" max="2" width="15.42578125" customWidth="1"/>
    <col min="3" max="3" width="16" customWidth="1"/>
    <col min="4" max="4" width="16.42578125" customWidth="1"/>
    <col min="5" max="5" width="16.5703125" customWidth="1"/>
    <col min="6" max="6" width="11.28515625" hidden="1" customWidth="1"/>
    <col min="7" max="7" width="13.7109375" customWidth="1"/>
    <col min="8" max="8" width="14.85546875" customWidth="1"/>
    <col min="9" max="9" width="12.28515625" customWidth="1"/>
    <col min="10" max="10" width="11.7109375" hidden="1" customWidth="1"/>
    <col min="11" max="11" width="14.5703125" customWidth="1"/>
    <col min="12" max="12" width="14.42578125" customWidth="1"/>
    <col min="13" max="14" width="13.5703125" customWidth="1"/>
    <col min="15" max="15" width="14.140625" customWidth="1"/>
    <col min="16" max="16" width="10.5703125" customWidth="1"/>
    <col min="17" max="17" width="11.85546875" customWidth="1"/>
    <col min="18" max="18" width="11.7109375" customWidth="1"/>
    <col min="19" max="19" width="14" customWidth="1"/>
  </cols>
  <sheetData>
    <row r="1" spans="1:19" ht="21" customHeight="1">
      <c r="A1" s="205" t="s">
        <v>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9" ht="16.5" customHeight="1">
      <c r="A2" s="209" t="s">
        <v>136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</row>
    <row r="3" spans="1:19" ht="15.75" customHeight="1">
      <c r="A3" s="207" t="s">
        <v>3</v>
      </c>
      <c r="B3" s="207" t="s">
        <v>4</v>
      </c>
      <c r="C3" s="206" t="s">
        <v>121</v>
      </c>
      <c r="D3" s="206" t="s">
        <v>24</v>
      </c>
      <c r="E3" s="206" t="s">
        <v>120</v>
      </c>
      <c r="F3" s="206" t="s">
        <v>99</v>
      </c>
      <c r="G3" s="206" t="s">
        <v>123</v>
      </c>
      <c r="H3" s="206" t="s">
        <v>119</v>
      </c>
      <c r="I3" s="206"/>
      <c r="J3" s="206"/>
      <c r="K3" s="206" t="s">
        <v>114</v>
      </c>
      <c r="L3" s="206"/>
      <c r="M3" s="206" t="s">
        <v>126</v>
      </c>
      <c r="N3" s="206" t="s">
        <v>127</v>
      </c>
      <c r="O3" s="206" t="s">
        <v>30</v>
      </c>
      <c r="P3" s="206" t="s">
        <v>9</v>
      </c>
      <c r="Q3" s="206"/>
      <c r="R3" s="206"/>
    </row>
    <row r="4" spans="1:19" ht="99" customHeight="1">
      <c r="A4" s="208"/>
      <c r="B4" s="208"/>
      <c r="C4" s="206"/>
      <c r="D4" s="206"/>
      <c r="E4" s="206"/>
      <c r="F4" s="206"/>
      <c r="G4" s="206"/>
      <c r="H4" s="189" t="s">
        <v>125</v>
      </c>
      <c r="I4" s="189" t="s">
        <v>10</v>
      </c>
      <c r="J4" s="189" t="s">
        <v>29</v>
      </c>
      <c r="K4" s="189" t="s">
        <v>125</v>
      </c>
      <c r="L4" s="189" t="s">
        <v>30</v>
      </c>
      <c r="M4" s="206"/>
      <c r="N4" s="206"/>
      <c r="O4" s="206"/>
      <c r="P4" s="125" t="s">
        <v>118</v>
      </c>
      <c r="Q4" s="125" t="s">
        <v>124</v>
      </c>
      <c r="R4" s="125" t="s">
        <v>137</v>
      </c>
    </row>
    <row r="5" spans="1:19" ht="18">
      <c r="A5" s="7" t="s">
        <v>21</v>
      </c>
      <c r="B5" s="17"/>
      <c r="C5" s="94">
        <f t="shared" ref="C5:H5" si="0">C6+C11+C16+C22+C26+C27</f>
        <v>99609.4</v>
      </c>
      <c r="D5" s="94">
        <f t="shared" si="0"/>
        <v>368.577</v>
      </c>
      <c r="E5" s="124">
        <f t="shared" si="0"/>
        <v>99977.976999999999</v>
      </c>
      <c r="F5" s="94">
        <f t="shared" si="0"/>
        <v>23522.7</v>
      </c>
      <c r="G5" s="94">
        <f t="shared" si="0"/>
        <v>4724.3</v>
      </c>
      <c r="H5" s="120">
        <f t="shared" si="0"/>
        <v>20416.400000000001</v>
      </c>
      <c r="I5" s="95">
        <f>IF(E5&gt;0,H5/E5,0)</f>
        <v>0.20420897294211104</v>
      </c>
      <c r="J5" s="95">
        <f>IF(F5&gt;0,H5/F5,0)</f>
        <v>0.86794458119178497</v>
      </c>
      <c r="K5" s="94">
        <f>K6+K11+K16+K22+K26+K27</f>
        <v>21494</v>
      </c>
      <c r="L5" s="95">
        <f>IF(K5&gt;0,H5/K5,0)</f>
        <v>0.94986507862659353</v>
      </c>
      <c r="M5" s="94">
        <f>M6+M11+M16+M22+M26+M27</f>
        <v>15692.099999999999</v>
      </c>
      <c r="N5" s="94">
        <f>N6+N11+N16+N22+N26+N27</f>
        <v>10327.699999999999</v>
      </c>
      <c r="O5" s="95">
        <f>IF(N5&gt;0,M5/N5,0)</f>
        <v>1.5194186508128624</v>
      </c>
      <c r="P5" s="120">
        <f>P6+P11+P16+P22+P26+P27</f>
        <v>1110.5</v>
      </c>
      <c r="Q5" s="94">
        <f>Q6+Q11+Q16+Q22+Q26+Q27</f>
        <v>2284.2999999999997</v>
      </c>
      <c r="R5" s="94">
        <f>R6+R11+R16+R22+R26+R27</f>
        <v>0</v>
      </c>
    </row>
    <row r="6" spans="1:19" ht="18">
      <c r="A6" s="9" t="s">
        <v>63</v>
      </c>
      <c r="B6" s="18">
        <v>1010200001</v>
      </c>
      <c r="C6" s="96">
        <f>C7+C8+C9+C10</f>
        <v>27179.999999999996</v>
      </c>
      <c r="D6" s="96">
        <f t="shared" ref="D6:H6" si="1">D7+D8+D9+D10</f>
        <v>0</v>
      </c>
      <c r="E6" s="96">
        <f t="shared" si="1"/>
        <v>27179.999999999996</v>
      </c>
      <c r="F6" s="96">
        <f t="shared" si="1"/>
        <v>9897.8000000000011</v>
      </c>
      <c r="G6" s="96">
        <f t="shared" si="1"/>
        <v>1348.1000000000004</v>
      </c>
      <c r="H6" s="96">
        <f t="shared" si="1"/>
        <v>4758.1999999999989</v>
      </c>
      <c r="I6" s="97">
        <f t="shared" ref="I6:I53" si="2">IF(E6&gt;0,H6/E6,0)</f>
        <v>0.17506254598969828</v>
      </c>
      <c r="J6" s="97">
        <f t="shared" ref="J6:J53" si="3">IF(F6&gt;0,H6/F6,0)</f>
        <v>0.48073309220230742</v>
      </c>
      <c r="K6" s="96">
        <f>K7+K8+K9+K10</f>
        <v>5334.2999999999993</v>
      </c>
      <c r="L6" s="97">
        <f t="shared" ref="L6:L53" si="4">IF(K6&gt;0,H6/K6,0)</f>
        <v>0.89200082485049581</v>
      </c>
      <c r="M6" s="96">
        <f t="shared" ref="M6:N6" si="5">M7+M8+M9+M10</f>
        <v>3410.099999999999</v>
      </c>
      <c r="N6" s="96">
        <f t="shared" si="5"/>
        <v>1671.3999999999999</v>
      </c>
      <c r="O6" s="97">
        <f t="shared" ref="O6:O53" si="6">IF(N6&gt;0,M6/N6,0)</f>
        <v>2.0402656455665906</v>
      </c>
      <c r="P6" s="96">
        <f>P7+P8+P9</f>
        <v>460.7</v>
      </c>
      <c r="Q6" s="96">
        <f>Q7+Q8+Q9</f>
        <v>808.19999999999982</v>
      </c>
      <c r="R6" s="169">
        <f>R7+R8+R9</f>
        <v>0</v>
      </c>
      <c r="S6" s="170"/>
    </row>
    <row r="7" spans="1:19" ht="18" customHeight="1">
      <c r="A7" s="10" t="s">
        <v>40</v>
      </c>
      <c r="B7" s="13">
        <v>1010201001</v>
      </c>
      <c r="C7" s="98">
        <f>муниц!C6+'Лен '!C7+Высокор!C7+Гост!C7+Новотр!C7+Черн!C7</f>
        <v>26954.999999999996</v>
      </c>
      <c r="D7" s="118">
        <f>муниц!D6+'Лен '!D7+Высокор!D7+Гост!D7+Новотр!D7+Черн!D7</f>
        <v>0</v>
      </c>
      <c r="E7" s="102">
        <f>C7+D7</f>
        <v>26954.999999999996</v>
      </c>
      <c r="F7" s="98">
        <f>муниц!F6+'Лен '!F7+Высокор!F7+Гост!F7+Новотр!F7+Черн!F7</f>
        <v>9824.7000000000007</v>
      </c>
      <c r="G7" s="98">
        <f>муниц!G6+'Лен '!G7+Высокор!G7+Гост!G7+Новотр!G7+Черн!G7</f>
        <v>1345.0000000000002</v>
      </c>
      <c r="H7" s="100">
        <f>G7+M7</f>
        <v>4754.9999999999991</v>
      </c>
      <c r="I7" s="101">
        <f t="shared" si="2"/>
        <v>0.17640511964385086</v>
      </c>
      <c r="J7" s="101">
        <f t="shared" si="3"/>
        <v>0.48398424379370347</v>
      </c>
      <c r="K7" s="98">
        <f>муниц!K6+'Лен '!K7+Высокор!K7+Гост!K7+Новотр!K7+Черн!K7</f>
        <v>5240.7999999999993</v>
      </c>
      <c r="L7" s="101">
        <f t="shared" si="4"/>
        <v>0.90730422836208213</v>
      </c>
      <c r="M7" s="98">
        <f>муниц!M6+'Лен '!M7+Высокор!M7+Гост!M7+Новотр!M7+Черн!M7</f>
        <v>3409.9999999999991</v>
      </c>
      <c r="N7" s="98">
        <f>муниц!N6+'Лен '!N7+Высокор!N7+Гост!N7+Новотр!N7+Черн!N7</f>
        <v>1652.6</v>
      </c>
      <c r="O7" s="101">
        <f t="shared" si="6"/>
        <v>2.0634152244947352</v>
      </c>
      <c r="P7" s="98">
        <f>муниц!P6+'Лен '!P7+Высокор!P7+Гост!P7+Новотр!P7+Черн!P7</f>
        <v>82.8</v>
      </c>
      <c r="Q7" s="98">
        <f>муниц!Q6+'Лен '!Q7+Высокор!Q7+Гост!Q7+Новотр!Q7+Черн!Q7</f>
        <v>419.49999999999994</v>
      </c>
      <c r="R7" s="98">
        <f>муниц!R6+'Лен '!R7+Высокор!R7+Гост!R7+Новотр!R7+Черн!R7</f>
        <v>0</v>
      </c>
      <c r="S7" s="26"/>
    </row>
    <row r="8" spans="1:19" ht="18.75" customHeight="1">
      <c r="A8" s="10" t="s">
        <v>41</v>
      </c>
      <c r="B8" s="13">
        <v>1010202001</v>
      </c>
      <c r="C8" s="98">
        <f>муниц!C7+'Лен '!C8+Высокор!C8+Гост!C8+Новотр!C8+Черн!C8</f>
        <v>105</v>
      </c>
      <c r="D8" s="98">
        <f>муниц!D7+'Лен '!D8+Высокор!D8+Гост!D8+Новотр!D8+Черн!D8</f>
        <v>0</v>
      </c>
      <c r="E8" s="102">
        <f>C8+D8</f>
        <v>105</v>
      </c>
      <c r="F8" s="98">
        <f>муниц!F7+'Лен '!F8+Высокор!F8+Гост!F8+Новотр!F8+Черн!F8</f>
        <v>26.1</v>
      </c>
      <c r="G8" s="98">
        <f>муниц!G7+'Лен '!G8+Высокор!G8+Гост!G8+Новотр!G8+Черн!G8</f>
        <v>0</v>
      </c>
      <c r="H8" s="100">
        <f>G8+M8</f>
        <v>0</v>
      </c>
      <c r="I8" s="101">
        <f t="shared" si="2"/>
        <v>0</v>
      </c>
      <c r="J8" s="101">
        <f t="shared" si="3"/>
        <v>0</v>
      </c>
      <c r="K8" s="98">
        <f>муниц!K7+'Лен '!K8+Высокор!K8+Гост!K8+Новотр!K8+Черн!K8</f>
        <v>0</v>
      </c>
      <c r="L8" s="101">
        <f t="shared" si="4"/>
        <v>0</v>
      </c>
      <c r="M8" s="98">
        <f>муниц!M7+'Лен '!M8+Высокор!M8+Гост!M8+Новотр!M8+Черн!M8</f>
        <v>0</v>
      </c>
      <c r="N8" s="98">
        <f>муниц!N7+'Лен '!N8+Высокор!N8+Гост!N8+Новотр!N8+Черн!N8</f>
        <v>-1.5</v>
      </c>
      <c r="O8" s="101">
        <f t="shared" si="6"/>
        <v>0</v>
      </c>
      <c r="P8" s="98">
        <f>муниц!P7+'Лен '!P8+Высокор!P8+Гост!P8+Новотр!P8+Черн!P8</f>
        <v>0</v>
      </c>
      <c r="Q8" s="98">
        <f>муниц!Q7+'Лен '!Q8+Высокор!Q8+Гост!Q8+Новотр!Q8+Черн!Q8</f>
        <v>0</v>
      </c>
      <c r="R8" s="98">
        <f>муниц!R7+'Лен '!R8+Высокор!R8+Гост!R8+Новотр!R8+Черн!R8</f>
        <v>0</v>
      </c>
      <c r="S8" s="26"/>
    </row>
    <row r="9" spans="1:19" ht="17.25" customHeight="1">
      <c r="A9" s="10" t="s">
        <v>42</v>
      </c>
      <c r="B9" s="13">
        <v>1010203001</v>
      </c>
      <c r="C9" s="98">
        <f>муниц!C8+'Лен '!C9+Высокор!C9+Гост!C9+Новотр!C9+Черн!C9</f>
        <v>120</v>
      </c>
      <c r="D9" s="98">
        <f>муниц!D8+'Лен '!D9+Высокор!D9+Гост!D9+Новотр!D9+Черн!D9</f>
        <v>0</v>
      </c>
      <c r="E9" s="99">
        <f>C9+D9</f>
        <v>120</v>
      </c>
      <c r="F9" s="98">
        <f>муниц!F8+'Лен '!F9+Высокор!F9+Гост!F9+Новотр!F9+Черн!F9</f>
        <v>47</v>
      </c>
      <c r="G9" s="98">
        <f>муниц!G8+'Лен '!G9+Высокор!G9+Гост!G9+Новотр!G9+Черн!G9</f>
        <v>-1.6</v>
      </c>
      <c r="H9" s="100">
        <f>G9+M9</f>
        <v>-1.6</v>
      </c>
      <c r="I9" s="101">
        <f t="shared" si="2"/>
        <v>-1.3333333333333334E-2</v>
      </c>
      <c r="J9" s="101">
        <f t="shared" si="3"/>
        <v>-3.4042553191489362E-2</v>
      </c>
      <c r="K9" s="98">
        <f>муниц!K8+'Лен '!K9+Высокор!K9+Гост!K9+Новотр!K9+Черн!K9</f>
        <v>93.5</v>
      </c>
      <c r="L9" s="101">
        <f t="shared" si="4"/>
        <v>-1.7112299465240642E-2</v>
      </c>
      <c r="M9" s="98">
        <f>муниц!M8+'Лен '!M9+Высокор!M9+Гост!M9+Новотр!M9+Черн!M9</f>
        <v>0</v>
      </c>
      <c r="N9" s="98">
        <f>муниц!N8+'Лен '!N9+Высокор!N9+Гост!N9+Новотр!N9+Черн!N9</f>
        <v>20.3</v>
      </c>
      <c r="O9" s="101">
        <f t="shared" si="6"/>
        <v>0</v>
      </c>
      <c r="P9" s="98">
        <f>муниц!P8+'Лен '!P9+Высокор!P9+Гост!P9+Новотр!P9+Черн!P9</f>
        <v>377.9</v>
      </c>
      <c r="Q9" s="98">
        <f>муниц!Q8+'Лен '!Q9+Высокор!Q9+Гост!Q9+Новотр!Q9+Черн!Q9</f>
        <v>388.69999999999993</v>
      </c>
      <c r="R9" s="98">
        <f>муниц!R8+'Лен '!R9+Высокор!R9+Гост!R9+Новотр!R9+Черн!R9</f>
        <v>0</v>
      </c>
      <c r="S9" s="26"/>
    </row>
    <row r="10" spans="1:19" ht="17.25" customHeight="1">
      <c r="A10" s="40" t="s">
        <v>122</v>
      </c>
      <c r="B10" s="187">
        <v>1010208001</v>
      </c>
      <c r="C10" s="98"/>
      <c r="D10" s="98">
        <f>муниц!D9+'Лен '!D10</f>
        <v>0</v>
      </c>
      <c r="E10" s="99">
        <f>C10+D10</f>
        <v>0</v>
      </c>
      <c r="F10" s="98"/>
      <c r="G10" s="98">
        <f>муниц!G9+'Лен '!G10</f>
        <v>4.7</v>
      </c>
      <c r="H10" s="100">
        <f>G10+M10</f>
        <v>4.8</v>
      </c>
      <c r="I10" s="101">
        <f t="shared" ref="I10" si="7">IF(E10&gt;0,H10/E10,0)</f>
        <v>0</v>
      </c>
      <c r="J10" s="101"/>
      <c r="K10" s="98">
        <f>муниц!K9+'Лен '!K10</f>
        <v>0</v>
      </c>
      <c r="L10" s="101">
        <f t="shared" si="4"/>
        <v>0</v>
      </c>
      <c r="M10" s="98">
        <f>муниц!M9+'Лен '!M10</f>
        <v>0.1</v>
      </c>
      <c r="N10" s="98">
        <f>муниц!N9+'Лен '!N10</f>
        <v>0</v>
      </c>
      <c r="O10" s="101"/>
      <c r="P10" s="98"/>
      <c r="Q10" s="98"/>
      <c r="R10" s="98"/>
      <c r="S10" s="26"/>
    </row>
    <row r="11" spans="1:19" ht="18" customHeight="1">
      <c r="A11" s="11" t="s">
        <v>48</v>
      </c>
      <c r="B11" s="19">
        <v>1030200001</v>
      </c>
      <c r="C11" s="103">
        <f t="shared" ref="C11:H11" si="8">SUM(C12:C15)</f>
        <v>14079.400000000001</v>
      </c>
      <c r="D11" s="103">
        <f t="shared" si="8"/>
        <v>368.577</v>
      </c>
      <c r="E11" s="103">
        <f t="shared" si="8"/>
        <v>14447.977000000003</v>
      </c>
      <c r="F11" s="103">
        <f t="shared" si="8"/>
        <v>0</v>
      </c>
      <c r="G11" s="103">
        <f t="shared" si="8"/>
        <v>1693.8000000000002</v>
      </c>
      <c r="H11" s="103">
        <f t="shared" si="8"/>
        <v>3581.9</v>
      </c>
      <c r="I11" s="97">
        <f t="shared" si="2"/>
        <v>0.2479170613297626</v>
      </c>
      <c r="J11" s="97">
        <f t="shared" si="3"/>
        <v>0</v>
      </c>
      <c r="K11" s="103">
        <f>SUM(K12:K15)</f>
        <v>3294.4000000000005</v>
      </c>
      <c r="L11" s="97">
        <f t="shared" si="4"/>
        <v>1.0872693054881009</v>
      </c>
      <c r="M11" s="103">
        <f>SUM(M12:M15)</f>
        <v>1888.1</v>
      </c>
      <c r="N11" s="103">
        <f>SUM(N12:N15)</f>
        <v>2098.0000000000005</v>
      </c>
      <c r="O11" s="97">
        <f t="shared" si="6"/>
        <v>0.89995233555767373</v>
      </c>
      <c r="P11" s="103">
        <f>SUM(P12:P15)</f>
        <v>0</v>
      </c>
      <c r="Q11" s="103">
        <f>SUM(Q12:Q15)</f>
        <v>0</v>
      </c>
      <c r="R11" s="103">
        <f>SUM(R12:R15)</f>
        <v>0</v>
      </c>
      <c r="S11" s="26"/>
    </row>
    <row r="12" spans="1:19" ht="18">
      <c r="A12" s="12" t="s">
        <v>49</v>
      </c>
      <c r="B12" s="12">
        <v>1030223101</v>
      </c>
      <c r="C12" s="98">
        <f>муниц!C11+'Лен '!C12+Высокор!C11+Гост!C11+Новотр!C11+Черн!C11</f>
        <v>6611.6000000000013</v>
      </c>
      <c r="D12" s="98">
        <f>муниц!D11+'Лен '!D12+Высокор!D11+Гост!D11+Новотр!D11+Черн!D11</f>
        <v>250</v>
      </c>
      <c r="E12" s="99">
        <f>C12+D12</f>
        <v>6861.6000000000013</v>
      </c>
      <c r="F12" s="98">
        <f>муниц!F11+'Лен '!F12+Высокор!F11+Гост!F11+Новотр!F11+Черн!F11</f>
        <v>0</v>
      </c>
      <c r="G12" s="98">
        <f>муниц!G11+'Лен '!G12+Высокор!G11+Гост!G11+Новотр!G11+Черн!G11</f>
        <v>881.6</v>
      </c>
      <c r="H12" s="100">
        <f>G12+M12</f>
        <v>1841.6</v>
      </c>
      <c r="I12" s="101">
        <f t="shared" si="2"/>
        <v>0.26839221172904271</v>
      </c>
      <c r="J12" s="101">
        <f t="shared" si="3"/>
        <v>0</v>
      </c>
      <c r="K12" s="98">
        <f>муниц!K11+'Лен '!K12+Высокор!K11+Гост!K11+Новотр!K11+Черн!K11</f>
        <v>1582.2000000000003</v>
      </c>
      <c r="L12" s="101">
        <f t="shared" si="4"/>
        <v>1.1639489318670204</v>
      </c>
      <c r="M12" s="98">
        <f>муниц!M11+'Лен '!M12+Высокор!M11+Гост!M11+Новотр!M11+Черн!M11</f>
        <v>960</v>
      </c>
      <c r="N12" s="98">
        <f>муниц!N11+'Лен '!N12+Высокор!N11+Гост!N11+Новотр!N11+Черн!N11</f>
        <v>1022.4000000000001</v>
      </c>
      <c r="O12" s="101">
        <f t="shared" si="6"/>
        <v>0.93896713615023464</v>
      </c>
      <c r="P12" s="98">
        <f>муниц!P11+'Лен '!P12+Высокор!P11+Гост!P11+Новотр!P11+Черн!P11</f>
        <v>0</v>
      </c>
      <c r="Q12" s="98">
        <f>муниц!Q11+'Лен '!Q12+Высокор!Q11+Гост!Q11+Новотр!Q11+Черн!Q11</f>
        <v>0</v>
      </c>
      <c r="R12" s="98">
        <f>муниц!R11+'Лен '!R12+Высокор!R11+Гост!R11+Новотр!R11+Черн!R11</f>
        <v>0</v>
      </c>
      <c r="S12" s="26"/>
    </row>
    <row r="13" spans="1:19" ht="18">
      <c r="A13" s="12" t="s">
        <v>50</v>
      </c>
      <c r="B13" s="12">
        <v>1030224101</v>
      </c>
      <c r="C13" s="98">
        <f>муниц!C12+'Лен '!C13+Высокор!C12+Гост!C12+Новотр!C12+Черн!C12</f>
        <v>43.900000000000006</v>
      </c>
      <c r="D13" s="98">
        <f>муниц!D12+'Лен '!D13+Высокор!D12+Гост!D12+Новотр!D12+Черн!D12</f>
        <v>0</v>
      </c>
      <c r="E13" s="99">
        <f>C13+D13</f>
        <v>43.900000000000006</v>
      </c>
      <c r="F13" s="98">
        <f>муниц!F12+'Лен '!F13+Высокор!F12+Гост!F12+Новотр!F12+Черн!F12</f>
        <v>0</v>
      </c>
      <c r="G13" s="98">
        <f>муниц!G12+'Лен '!G13+Высокор!G12+Гост!G12+Новотр!G12+Черн!G12</f>
        <v>3.2000000000000006</v>
      </c>
      <c r="H13" s="100">
        <f>G13+M13</f>
        <v>7.4</v>
      </c>
      <c r="I13" s="101">
        <f t="shared" si="2"/>
        <v>0.16856492027334852</v>
      </c>
      <c r="J13" s="101">
        <f t="shared" si="3"/>
        <v>0</v>
      </c>
      <c r="K13" s="98">
        <f>муниц!K12+'Лен '!K13+Высокор!K12+Гост!K12+Новотр!K12+Черн!K12</f>
        <v>10.1</v>
      </c>
      <c r="L13" s="101">
        <f t="shared" si="4"/>
        <v>0.73267326732673277</v>
      </c>
      <c r="M13" s="98">
        <f>муниц!M12+'Лен '!M13+Высокор!M12+Гост!M12+Новотр!M12+Черн!M12</f>
        <v>4.2</v>
      </c>
      <c r="N13" s="98">
        <f>муниц!N12+'Лен '!N13+Высокор!N12+Гост!N12+Новотр!N12+Черн!N12</f>
        <v>6.3000000000000007</v>
      </c>
      <c r="O13" s="101">
        <f t="shared" si="6"/>
        <v>0.66666666666666663</v>
      </c>
      <c r="P13" s="98">
        <f>муниц!P12+'Лен '!P13+Высокор!P12+Гост!P12+Новотр!P12+Черн!P12</f>
        <v>0</v>
      </c>
      <c r="Q13" s="98">
        <f>муниц!Q12+'Лен '!Q13+Высокор!Q12+Гост!Q12+Новотр!Q12+Черн!Q12</f>
        <v>0</v>
      </c>
      <c r="R13" s="98">
        <f>муниц!R12+'Лен '!R13+Высокор!R12+Гост!R12+Новотр!R12+Черн!R12</f>
        <v>0</v>
      </c>
      <c r="S13" s="26"/>
    </row>
    <row r="14" spans="1:19" ht="18" customHeight="1">
      <c r="A14" s="12" t="s">
        <v>51</v>
      </c>
      <c r="B14" s="12">
        <v>1030225101</v>
      </c>
      <c r="C14" s="98">
        <f>муниц!C13+'Лен '!C14+Высокор!C13+Гост!C13+Новотр!C13+Черн!C13</f>
        <v>8256.4000000000015</v>
      </c>
      <c r="D14" s="98">
        <f>муниц!D13+'Лен '!D14+Высокор!D13+Гост!D13+Новотр!D13+Черн!D13</f>
        <v>118.577</v>
      </c>
      <c r="E14" s="99">
        <f>C14+D14</f>
        <v>8374.9770000000008</v>
      </c>
      <c r="F14" s="98">
        <f>муниц!F13+'Лен '!F14+Высокор!F13+Гост!F13+Новотр!F13+Черн!F13</f>
        <v>0</v>
      </c>
      <c r="G14" s="98">
        <f>муниц!G13+'Лен '!G14+Высокор!G13+Гост!G13+Новотр!G13+Черн!G13</f>
        <v>898.09999999999991</v>
      </c>
      <c r="H14" s="100">
        <f>G14+M14</f>
        <v>1968.9999999999998</v>
      </c>
      <c r="I14" s="101">
        <f t="shared" si="2"/>
        <v>0.23510512327377134</v>
      </c>
      <c r="J14" s="101">
        <f t="shared" si="3"/>
        <v>0</v>
      </c>
      <c r="K14" s="98">
        <f>муниц!K13+'Лен '!K14+Высокор!K13+Гост!K13+Новотр!K13+Черн!K13</f>
        <v>1914.3</v>
      </c>
      <c r="L14" s="101">
        <f t="shared" si="4"/>
        <v>1.0285744136237789</v>
      </c>
      <c r="M14" s="98">
        <f>муниц!M13+'Лен '!M14+Высокор!M13+Гост!M13+Новотр!M13+Черн!M13</f>
        <v>1070.8999999999999</v>
      </c>
      <c r="N14" s="98">
        <f>муниц!N13+'Лен '!N14+Высокор!N13+Гост!N13+Новотр!N13+Черн!N13</f>
        <v>1223.9000000000001</v>
      </c>
      <c r="O14" s="101">
        <f t="shared" si="6"/>
        <v>0.87498978674728312</v>
      </c>
      <c r="P14" s="98">
        <f>муниц!P13+'Лен '!P14+Высокор!P13+Гост!P13+Новотр!P13+Черн!P13</f>
        <v>0</v>
      </c>
      <c r="Q14" s="98">
        <f>муниц!Q13+'Лен '!Q14+Высокор!Q13+Гост!Q13+Новотр!Q13+Черн!Q13</f>
        <v>0</v>
      </c>
      <c r="R14" s="98">
        <f>муниц!R13+'Лен '!R14+Высокор!R13+Гост!R13+Новотр!R13+Черн!R13</f>
        <v>0</v>
      </c>
      <c r="S14" s="26"/>
    </row>
    <row r="15" spans="1:19" ht="18">
      <c r="A15" s="12" t="s">
        <v>52</v>
      </c>
      <c r="B15" s="12">
        <v>1030226101</v>
      </c>
      <c r="C15" s="98">
        <f>муниц!C14+'Лен '!C15+Высокор!C14+Гост!C14+Новотр!C14+Черн!C14</f>
        <v>-832.49999999999989</v>
      </c>
      <c r="D15" s="98">
        <f>муниц!D14+'Лен '!D15+Высокор!D14+Гост!D14+Новотр!D14+Черн!D14</f>
        <v>0</v>
      </c>
      <c r="E15" s="99">
        <f>C15+D15</f>
        <v>-832.49999999999989</v>
      </c>
      <c r="F15" s="98">
        <f>муниц!F14+'Лен '!F15+Высокор!F14+Гост!F14+Новотр!F14+Черн!F14</f>
        <v>0</v>
      </c>
      <c r="G15" s="98">
        <f>муниц!G14+'Лен '!G15+Высокор!G14+Гост!G14+Новотр!G14+Черн!G14</f>
        <v>-89.1</v>
      </c>
      <c r="H15" s="100">
        <f>G15+M15</f>
        <v>-236.09999999999997</v>
      </c>
      <c r="I15" s="101">
        <f>H15/E15</f>
        <v>0.28360360360360359</v>
      </c>
      <c r="J15" s="101">
        <f t="shared" si="3"/>
        <v>0</v>
      </c>
      <c r="K15" s="98">
        <f>муниц!K14+'Лен '!K15+Высокор!K14+Гост!K14+Новотр!K14+Черн!K14</f>
        <v>-212.2</v>
      </c>
      <c r="L15" s="101">
        <f t="shared" si="4"/>
        <v>0</v>
      </c>
      <c r="M15" s="98">
        <f>муниц!M14+'Лен '!M15+Высокор!M14+Гост!M14+Новотр!M14+Черн!M14</f>
        <v>-146.99999999999997</v>
      </c>
      <c r="N15" s="98">
        <f>муниц!N14+'Лен '!N15+Высокор!N14+Гост!N14+Новотр!N14+Черн!N14</f>
        <v>-154.60000000000002</v>
      </c>
      <c r="O15" s="101">
        <f t="shared" si="6"/>
        <v>0</v>
      </c>
      <c r="P15" s="98">
        <f>муниц!P14+'Лен '!P15+Высокор!P14+Гост!P14+Новотр!P14+Черн!P14</f>
        <v>0</v>
      </c>
      <c r="Q15" s="98">
        <f>муниц!Q14+'Лен '!Q15+Высокор!Q14+Гост!Q14+Новотр!Q14+Черн!Q14</f>
        <v>0</v>
      </c>
      <c r="R15" s="98">
        <f>муниц!R14+'Лен '!R15+Высокор!R14+Гост!R14+Новотр!R14+Черн!R14</f>
        <v>0</v>
      </c>
      <c r="S15" s="26"/>
    </row>
    <row r="16" spans="1:19" ht="18">
      <c r="A16" s="9" t="s">
        <v>82</v>
      </c>
      <c r="B16" s="18">
        <v>1050000000</v>
      </c>
      <c r="C16" s="96">
        <f t="shared" ref="C16:H16" si="9">C17+C18+C19+C20+C21</f>
        <v>47480</v>
      </c>
      <c r="D16" s="96">
        <f t="shared" si="9"/>
        <v>0</v>
      </c>
      <c r="E16" s="152">
        <f t="shared" si="9"/>
        <v>47480</v>
      </c>
      <c r="F16" s="96">
        <f t="shared" si="9"/>
        <v>11352.9</v>
      </c>
      <c r="G16" s="96">
        <f t="shared" si="9"/>
        <v>1400.7000000000003</v>
      </c>
      <c r="H16" s="96">
        <f t="shared" si="9"/>
        <v>9827.4</v>
      </c>
      <c r="I16" s="97">
        <f t="shared" si="2"/>
        <v>0.20697978096040437</v>
      </c>
      <c r="J16" s="97">
        <f t="shared" si="3"/>
        <v>0.86562904632296589</v>
      </c>
      <c r="K16" s="96">
        <f>K17+K18+K19+K20+K21</f>
        <v>10523.7</v>
      </c>
      <c r="L16" s="97">
        <f t="shared" si="4"/>
        <v>0.93383505801191591</v>
      </c>
      <c r="M16" s="96">
        <f>M17+M18+M19+M20+M21</f>
        <v>8426.6999999999989</v>
      </c>
      <c r="N16" s="96">
        <f>N17+N18+N19+N20+N21</f>
        <v>6008.9999999999991</v>
      </c>
      <c r="O16" s="97">
        <f t="shared" si="6"/>
        <v>1.4023464802795806</v>
      </c>
      <c r="P16" s="96">
        <f>P17+P18+P19+P20+P21</f>
        <v>191.29999999999998</v>
      </c>
      <c r="Q16" s="96">
        <f>Q17+Q18+Q19+Q20+Q21</f>
        <v>960.1</v>
      </c>
      <c r="R16" s="96">
        <f>R17+R18+R19+R20+R21</f>
        <v>0</v>
      </c>
      <c r="S16" s="26"/>
    </row>
    <row r="17" spans="1:19" ht="18">
      <c r="A17" s="10" t="s">
        <v>53</v>
      </c>
      <c r="B17" s="28">
        <v>1050101001</v>
      </c>
      <c r="C17" s="98">
        <f>муниц!C16</f>
        <v>37320</v>
      </c>
      <c r="D17" s="98">
        <f>муниц!D16</f>
        <v>0</v>
      </c>
      <c r="E17" s="102">
        <f>C17+D17</f>
        <v>37320</v>
      </c>
      <c r="F17" s="98">
        <f>муниц!F16</f>
        <v>7051</v>
      </c>
      <c r="G17" s="98">
        <f>муниц!G16</f>
        <v>1221.9000000000001</v>
      </c>
      <c r="H17" s="100">
        <f>G17+M17</f>
        <v>6798</v>
      </c>
      <c r="I17" s="101">
        <f t="shared" si="2"/>
        <v>0.18215434083601287</v>
      </c>
      <c r="J17" s="101">
        <f t="shared" si="3"/>
        <v>0.96411856474258972</v>
      </c>
      <c r="K17" s="98">
        <f>муниц!K16</f>
        <v>7686.5</v>
      </c>
      <c r="L17" s="101">
        <f t="shared" si="4"/>
        <v>0.88440772783451505</v>
      </c>
      <c r="M17" s="98">
        <f>муниц!M16</f>
        <v>5576.1</v>
      </c>
      <c r="N17" s="98">
        <f>муниц!N16</f>
        <v>3516.4</v>
      </c>
      <c r="O17" s="101">
        <f t="shared" si="6"/>
        <v>1.5857410988510978</v>
      </c>
      <c r="P17" s="98">
        <f>муниц!P16</f>
        <v>129.69999999999999</v>
      </c>
      <c r="Q17" s="98">
        <f>муниц!Q16</f>
        <v>845.5</v>
      </c>
      <c r="R17" s="98">
        <f>муниц!R16</f>
        <v>0</v>
      </c>
      <c r="S17" s="26"/>
    </row>
    <row r="18" spans="1:19" ht="18">
      <c r="A18" s="10" t="s">
        <v>54</v>
      </c>
      <c r="B18" s="28">
        <v>1050102001</v>
      </c>
      <c r="C18" s="98">
        <f>муниц!C17</f>
        <v>8000</v>
      </c>
      <c r="D18" s="98">
        <f>муниц!D17</f>
        <v>0</v>
      </c>
      <c r="E18" s="102">
        <f>C18+D18</f>
        <v>8000</v>
      </c>
      <c r="F18" s="98">
        <f>муниц!F17</f>
        <v>1509</v>
      </c>
      <c r="G18" s="98">
        <f>муниц!G17</f>
        <v>296.89999999999998</v>
      </c>
      <c r="H18" s="100">
        <f>G18+M18</f>
        <v>3119.1</v>
      </c>
      <c r="I18" s="101">
        <f t="shared" si="2"/>
        <v>0.3898875</v>
      </c>
      <c r="J18" s="101">
        <f t="shared" si="3"/>
        <v>2.0669980119284292</v>
      </c>
      <c r="K18" s="98">
        <f>муниц!K17</f>
        <v>1683</v>
      </c>
      <c r="L18" s="101">
        <f t="shared" si="4"/>
        <v>1.8532976827094474</v>
      </c>
      <c r="M18" s="98">
        <f>муниц!M17</f>
        <v>2822.2</v>
      </c>
      <c r="N18" s="98">
        <f>муниц!N17</f>
        <v>1449.5</v>
      </c>
      <c r="O18" s="101">
        <f t="shared" si="6"/>
        <v>1.9470162124870645</v>
      </c>
      <c r="P18" s="98">
        <f>муниц!P17</f>
        <v>61.6</v>
      </c>
      <c r="Q18" s="98">
        <f>муниц!Q17</f>
        <v>112.1</v>
      </c>
      <c r="R18" s="98">
        <f>муниц!R17</f>
        <v>0</v>
      </c>
      <c r="S18" s="26"/>
    </row>
    <row r="19" spans="1:19" ht="18">
      <c r="A19" s="13" t="s">
        <v>0</v>
      </c>
      <c r="B19" s="28">
        <v>1050200001</v>
      </c>
      <c r="C19" s="98">
        <f>муниц!C18</f>
        <v>0</v>
      </c>
      <c r="D19" s="98">
        <f>муниц!D18</f>
        <v>0</v>
      </c>
      <c r="E19" s="102">
        <f>C19+D19</f>
        <v>0</v>
      </c>
      <c r="F19" s="98">
        <f>муниц!F18</f>
        <v>2641</v>
      </c>
      <c r="G19" s="98">
        <f>муниц!G18</f>
        <v>-4</v>
      </c>
      <c r="H19" s="100">
        <f>G19+M19</f>
        <v>-4</v>
      </c>
      <c r="I19" s="101">
        <f t="shared" si="2"/>
        <v>0</v>
      </c>
      <c r="J19" s="101">
        <f t="shared" si="3"/>
        <v>-1.5145778114350624E-3</v>
      </c>
      <c r="K19" s="98">
        <f>муниц!K18</f>
        <v>-6.5</v>
      </c>
      <c r="L19" s="101">
        <f t="shared" si="4"/>
        <v>0</v>
      </c>
      <c r="M19" s="98">
        <f>муниц!M18</f>
        <v>0</v>
      </c>
      <c r="N19" s="98">
        <f>муниц!N18</f>
        <v>-0.1</v>
      </c>
      <c r="O19" s="101">
        <f t="shared" si="6"/>
        <v>0</v>
      </c>
      <c r="P19" s="98">
        <f>муниц!P18</f>
        <v>0</v>
      </c>
      <c r="Q19" s="98">
        <f>муниц!Q18</f>
        <v>2.5</v>
      </c>
      <c r="R19" s="98">
        <f>муниц!R18</f>
        <v>0</v>
      </c>
      <c r="S19" s="26"/>
    </row>
    <row r="20" spans="1:19" ht="18">
      <c r="A20" s="13" t="s">
        <v>7</v>
      </c>
      <c r="B20" s="28">
        <v>1050300001</v>
      </c>
      <c r="C20" s="98">
        <f>муниц!C19+'Лен '!C17+Высокор!C16+Гост!C16+Новотр!C16+Черн!C16</f>
        <v>1010</v>
      </c>
      <c r="D20" s="98">
        <f>муниц!D19+'Лен '!D17+Высокор!D16+Гост!D16+Новотр!D16+Черн!D16</f>
        <v>0</v>
      </c>
      <c r="E20" s="119">
        <f>C20+D20</f>
        <v>1010</v>
      </c>
      <c r="F20" s="98">
        <f>муниц!F19+'Лен '!F17+Высокор!F16+Гост!F16+Новотр!F16+Черн!F16</f>
        <v>63</v>
      </c>
      <c r="G20" s="98">
        <f>муниц!G19+'Лен '!G17+Высокор!G16+Гост!G16+Новотр!G16+Черн!G16</f>
        <v>0</v>
      </c>
      <c r="H20" s="100">
        <f>G20+M20</f>
        <v>35.5</v>
      </c>
      <c r="I20" s="101">
        <f t="shared" si="2"/>
        <v>3.5148514851485152E-2</v>
      </c>
      <c r="J20" s="101">
        <f t="shared" si="3"/>
        <v>0.56349206349206349</v>
      </c>
      <c r="K20" s="98">
        <f>муниц!K19+'Лен '!K17+Высокор!K16+Гост!K16+Новотр!K16+Черн!K16</f>
        <v>599.20000000000005</v>
      </c>
      <c r="L20" s="101">
        <f t="shared" si="4"/>
        <v>5.9245660881174896E-2</v>
      </c>
      <c r="M20" s="98">
        <f>муниц!M19+'Лен '!M17+Высокор!M16+Гост!M16+Новотр!M16+Черн!M16</f>
        <v>35.5</v>
      </c>
      <c r="N20" s="98">
        <f>муниц!N19+'Лен '!N17+Высокор!N16+Гост!N16+Новотр!N16+Черн!N16</f>
        <v>596</v>
      </c>
      <c r="O20" s="101">
        <f t="shared" si="6"/>
        <v>5.9563758389261742E-2</v>
      </c>
      <c r="P20" s="98">
        <f>муниц!P19+'Лен '!P17+Высокор!P16+Гост!P16+Новотр!P16+Черн!P16</f>
        <v>0</v>
      </c>
      <c r="Q20" s="98">
        <f>муниц!Q19+'Лен '!Q17+Высокор!Q16+Гост!Q16+Новотр!Q16+Черн!Q16</f>
        <v>0</v>
      </c>
      <c r="R20" s="98">
        <f>муниц!R19+'Лен '!R17+Высокор!R16+Гост!R16+Новотр!R16+Черн!R16</f>
        <v>0</v>
      </c>
      <c r="S20" s="26"/>
    </row>
    <row r="21" spans="1:19" ht="18">
      <c r="A21" s="10" t="s">
        <v>96</v>
      </c>
      <c r="B21" s="28">
        <v>1050402002</v>
      </c>
      <c r="C21" s="98">
        <f>муниц!C20</f>
        <v>1150</v>
      </c>
      <c r="D21" s="98">
        <f>муниц!D20</f>
        <v>0</v>
      </c>
      <c r="E21" s="102">
        <f>C21+D21</f>
        <v>1150</v>
      </c>
      <c r="F21" s="98">
        <f>муниц!F20</f>
        <v>88.9</v>
      </c>
      <c r="G21" s="98">
        <f>муниц!G20</f>
        <v>-114.1</v>
      </c>
      <c r="H21" s="100">
        <f>G21+M21</f>
        <v>-121.19999999999999</v>
      </c>
      <c r="I21" s="101">
        <f t="shared" si="2"/>
        <v>-0.10539130434782608</v>
      </c>
      <c r="J21" s="101">
        <f t="shared" si="3"/>
        <v>-1.3633295838020245</v>
      </c>
      <c r="K21" s="98">
        <f>муниц!K20</f>
        <v>561.5</v>
      </c>
      <c r="L21" s="101">
        <f t="shared" si="4"/>
        <v>-0.21585040071237754</v>
      </c>
      <c r="M21" s="98">
        <f>муниц!M20</f>
        <v>-7.1</v>
      </c>
      <c r="N21" s="98">
        <f>муниц!N20</f>
        <v>447.2</v>
      </c>
      <c r="O21" s="101">
        <f t="shared" si="6"/>
        <v>-1.5876565295169946E-2</v>
      </c>
      <c r="P21" s="98">
        <f>муниц!P20</f>
        <v>0</v>
      </c>
      <c r="Q21" s="98">
        <f>муниц!Q20</f>
        <v>0</v>
      </c>
      <c r="R21" s="98">
        <f>муниц!R20</f>
        <v>0</v>
      </c>
      <c r="S21" s="26"/>
    </row>
    <row r="22" spans="1:19" ht="18">
      <c r="A22" s="9" t="s">
        <v>80</v>
      </c>
      <c r="B22" s="18">
        <v>1060000000</v>
      </c>
      <c r="C22" s="104">
        <f t="shared" ref="C22:H22" si="10">C23+C24+C25</f>
        <v>9859</v>
      </c>
      <c r="D22" s="104">
        <f t="shared" si="10"/>
        <v>0</v>
      </c>
      <c r="E22" s="152">
        <f t="shared" si="10"/>
        <v>9859</v>
      </c>
      <c r="F22" s="104">
        <f t="shared" si="10"/>
        <v>1983</v>
      </c>
      <c r="G22" s="104">
        <f t="shared" si="10"/>
        <v>227</v>
      </c>
      <c r="H22" s="104">
        <f t="shared" si="10"/>
        <v>2070.2000000000003</v>
      </c>
      <c r="I22" s="97">
        <f t="shared" si="2"/>
        <v>0.2099807282685871</v>
      </c>
      <c r="J22" s="97">
        <f t="shared" si="3"/>
        <v>1.0439737771053961</v>
      </c>
      <c r="K22" s="104">
        <f>K23+K24+K25</f>
        <v>2162.8000000000002</v>
      </c>
      <c r="L22" s="97">
        <f t="shared" si="4"/>
        <v>0.95718513038653597</v>
      </c>
      <c r="M22" s="104">
        <f>M23+M24+M25</f>
        <v>1843.2</v>
      </c>
      <c r="N22" s="104">
        <f>N23+N24+N25</f>
        <v>480.29999999999995</v>
      </c>
      <c r="O22" s="97">
        <f t="shared" si="6"/>
        <v>3.8376014990630862</v>
      </c>
      <c r="P22" s="96">
        <f>P23+P24+P25</f>
        <v>458.5</v>
      </c>
      <c r="Q22" s="104">
        <f>Q23+Q24+Q25</f>
        <v>516</v>
      </c>
      <c r="R22" s="104">
        <f>R23+R24+R25</f>
        <v>0</v>
      </c>
      <c r="S22" s="26"/>
    </row>
    <row r="23" spans="1:19" ht="18">
      <c r="A23" s="13" t="s">
        <v>16</v>
      </c>
      <c r="B23" s="13">
        <v>1060103003</v>
      </c>
      <c r="C23" s="98">
        <f>'Лен '!C22+Высокор!C21+Гост!C21+Новотр!C21+Черн!C21</f>
        <v>1063</v>
      </c>
      <c r="D23" s="98">
        <f>'Лен '!D22+Высокор!D21+Гост!D21+Новотр!D21+Черн!D21</f>
        <v>0</v>
      </c>
      <c r="E23" s="102">
        <f>C23+D23</f>
        <v>1063</v>
      </c>
      <c r="F23" s="98">
        <f>'Лен '!F22+Высокор!F21+Гост!F21+Новотр!F21+Черн!F21</f>
        <v>0</v>
      </c>
      <c r="G23" s="100">
        <f>'Лен '!G22+Высокор!G21+Гост!G21+Новотр!G21+Черн!G21</f>
        <v>-50.3</v>
      </c>
      <c r="H23" s="100">
        <f>G23+M23</f>
        <v>-9.2999999999999972</v>
      </c>
      <c r="I23" s="101">
        <f>IF(E23&gt;0,H23/E23,0)</f>
        <v>-8.7488240827845697E-3</v>
      </c>
      <c r="J23" s="101">
        <f>IF(F23&gt;0,H23/F23,0)</f>
        <v>0</v>
      </c>
      <c r="K23" s="100">
        <f>'Лен '!K22+Высокор!K21+Гост!K21+Новотр!K21+Черн!K21</f>
        <v>44.9</v>
      </c>
      <c r="L23" s="101">
        <f>IF(K23&gt;0,H23/K23,0)</f>
        <v>-0.20712694877505564</v>
      </c>
      <c r="M23" s="100">
        <f>'Лен '!M22+Высокор!M21+Гост!M21+Новотр!M21+Черн!M21</f>
        <v>41</v>
      </c>
      <c r="N23" s="100">
        <f>'Лен '!N22+Высокор!N21+Гост!N21+Новотр!N21+Черн!N21</f>
        <v>8.7999999999999989</v>
      </c>
      <c r="O23" s="101">
        <f>IF(N23&gt;0,M23/N23,0)</f>
        <v>4.6590909090909101</v>
      </c>
      <c r="P23" s="100">
        <f>'Лен '!P22+Высокор!P21+Гост!P21+Новотр!P21+Черн!P21</f>
        <v>251.7</v>
      </c>
      <c r="Q23" s="100">
        <f>'Лен '!Q22+Высокор!Q21+Гост!Q21+Новотр!Q21+Черн!Q21</f>
        <v>254.19999999999996</v>
      </c>
      <c r="R23" s="100">
        <f>'Лен '!R22+Высокор!R21+Гост!R21+Новотр!R21+Черн!R21</f>
        <v>0</v>
      </c>
      <c r="S23" s="26"/>
    </row>
    <row r="24" spans="1:19" ht="18">
      <c r="A24" s="13" t="s">
        <v>19</v>
      </c>
      <c r="B24" s="13">
        <v>1060201002</v>
      </c>
      <c r="C24" s="98">
        <f>муниц!C21</f>
        <v>7055</v>
      </c>
      <c r="D24" s="98">
        <f>муниц!D21</f>
        <v>0</v>
      </c>
      <c r="E24" s="102">
        <f>C24+D24</f>
        <v>7055</v>
      </c>
      <c r="F24" s="98">
        <f>муниц!F21</f>
        <v>1983</v>
      </c>
      <c r="G24" s="98">
        <f>муниц!G21</f>
        <v>305.5</v>
      </c>
      <c r="H24" s="100">
        <f>G24+M24</f>
        <v>1942.2</v>
      </c>
      <c r="I24" s="101">
        <f t="shared" si="2"/>
        <v>0.27529411764705886</v>
      </c>
      <c r="J24" s="101">
        <f t="shared" si="3"/>
        <v>0.97942511346444783</v>
      </c>
      <c r="K24" s="98">
        <f>муниц!K21</f>
        <v>1682.7</v>
      </c>
      <c r="L24" s="101">
        <f t="shared" si="4"/>
        <v>1.1542164378677127</v>
      </c>
      <c r="M24" s="98">
        <f>муниц!M21</f>
        <v>1636.7</v>
      </c>
      <c r="N24" s="98">
        <f>муниц!N21</f>
        <v>172.9</v>
      </c>
      <c r="O24" s="101">
        <f t="shared" si="6"/>
        <v>9.4661654135338349</v>
      </c>
      <c r="P24" s="98">
        <f>муниц!P21</f>
        <v>0</v>
      </c>
      <c r="Q24" s="98">
        <f>муниц!Q21</f>
        <v>79.3</v>
      </c>
      <c r="R24" s="98">
        <f>муниц!R21</f>
        <v>0</v>
      </c>
      <c r="S24" s="26"/>
    </row>
    <row r="25" spans="1:19" ht="18">
      <c r="A25" s="13" t="s">
        <v>15</v>
      </c>
      <c r="B25" s="13">
        <v>1060600000</v>
      </c>
      <c r="C25" s="98">
        <f>'Лен '!C19+Высокор!C18+Гост!C18+Новотр!C18+Черн!C18</f>
        <v>1741</v>
      </c>
      <c r="D25" s="98">
        <f>'Лен '!D19+Высокор!D18+Гост!D18+Новотр!D18+Черн!D18</f>
        <v>0</v>
      </c>
      <c r="E25" s="99">
        <f>C25+D25</f>
        <v>1741</v>
      </c>
      <c r="F25" s="98">
        <f>'Лен '!F19+Высокор!F18+Гост!F18+Новотр!F18+Черн!F18</f>
        <v>0</v>
      </c>
      <c r="G25" s="100">
        <f>'Лен '!G19+Высокор!G18+Гост!G18+Новотр!G18+Черн!G18</f>
        <v>-28.200000000000003</v>
      </c>
      <c r="H25" s="100">
        <f>G25+M25</f>
        <v>137.30000000000001</v>
      </c>
      <c r="I25" s="101">
        <f t="shared" si="2"/>
        <v>7.8862722573233776E-2</v>
      </c>
      <c r="J25" s="101">
        <f t="shared" si="3"/>
        <v>0</v>
      </c>
      <c r="K25" s="100">
        <f>'Лен '!K19+Высокор!K18+Гост!K18+Новотр!K18+Черн!K18</f>
        <v>435.2</v>
      </c>
      <c r="L25" s="101">
        <f t="shared" si="4"/>
        <v>0.31548713235294124</v>
      </c>
      <c r="M25" s="100">
        <f>'Лен '!M19+Высокор!M18+Гост!M18+Новотр!M18+Черн!M18</f>
        <v>165.5</v>
      </c>
      <c r="N25" s="100">
        <f>'Лен '!N19+Высокор!N18+Гост!N18+Новотр!N18+Черн!N18</f>
        <v>298.59999999999997</v>
      </c>
      <c r="O25" s="101">
        <f t="shared" si="6"/>
        <v>0.55425318151373082</v>
      </c>
      <c r="P25" s="100">
        <f>'Лен '!P19+Высокор!P18+Гост!P18+Новотр!P18+Черн!P18</f>
        <v>206.8</v>
      </c>
      <c r="Q25" s="100">
        <f>'Лен '!Q19+Высокор!Q18+Гост!Q18+Новотр!Q18+Черн!Q18</f>
        <v>182.5</v>
      </c>
      <c r="R25" s="100">
        <f>'Лен '!R19+Высокор!R18+Гост!R18+Новотр!R18+Черн!R18</f>
        <v>0</v>
      </c>
      <c r="S25" s="26"/>
    </row>
    <row r="26" spans="1:19" ht="18">
      <c r="A26" s="9" t="s">
        <v>83</v>
      </c>
      <c r="B26" s="18">
        <v>1080000000</v>
      </c>
      <c r="C26" s="103">
        <f>муниц!C22+Высокор!C22+Гост!C22+Новотр!C22+Черн!C22</f>
        <v>1011</v>
      </c>
      <c r="D26" s="103">
        <f>муниц!D22+Высокор!D22+Гост!D22+Новотр!D22+Черн!D22</f>
        <v>0</v>
      </c>
      <c r="E26" s="105">
        <f>C26+D26</f>
        <v>1011</v>
      </c>
      <c r="F26" s="103">
        <f>муниц!F22+Высокор!F22+Гост!F22+Новотр!F22+Черн!F22</f>
        <v>289</v>
      </c>
      <c r="G26" s="103">
        <f>муниц!G22+Высокор!G22+Гост!G22+Новотр!G22+Черн!G22</f>
        <v>54.7</v>
      </c>
      <c r="H26" s="96">
        <f>G26+M26</f>
        <v>178.7</v>
      </c>
      <c r="I26" s="97">
        <f t="shared" si="2"/>
        <v>0.17675568743818001</v>
      </c>
      <c r="J26" s="97">
        <f t="shared" si="3"/>
        <v>0.61833910034602069</v>
      </c>
      <c r="K26" s="103">
        <f>муниц!K22+Высокор!K22+Гост!K22+Новотр!K22+Черн!K22</f>
        <v>178.79999999999998</v>
      </c>
      <c r="L26" s="97">
        <f t="shared" si="4"/>
        <v>0.9994407158836689</v>
      </c>
      <c r="M26" s="103">
        <f>муниц!M22+Высокор!M22+Гост!M22+Новотр!M22+Черн!M22</f>
        <v>124</v>
      </c>
      <c r="N26" s="103">
        <f>муниц!N22+Высокор!N22+Гост!N22+Новотр!N22+Черн!N22</f>
        <v>69</v>
      </c>
      <c r="O26" s="97">
        <f t="shared" si="6"/>
        <v>1.7971014492753623</v>
      </c>
      <c r="P26" s="106"/>
      <c r="Q26" s="106"/>
      <c r="R26" s="106"/>
      <c r="S26" s="26"/>
    </row>
    <row r="27" spans="1:19" ht="18" hidden="1">
      <c r="A27" s="9" t="s">
        <v>84</v>
      </c>
      <c r="B27" s="18">
        <v>1090000000</v>
      </c>
      <c r="C27" s="103">
        <f>муниц!C23+'Лен '!C23+Высокор!C23+Гост!C23+Новотр!C23+Черн!C23</f>
        <v>0</v>
      </c>
      <c r="D27" s="103">
        <f>муниц!D23+'Лен '!D23+Высокор!D23+Гост!D23+Новотр!D23+Черн!D23</f>
        <v>0</v>
      </c>
      <c r="E27" s="105">
        <f>C27+D27</f>
        <v>0</v>
      </c>
      <c r="F27" s="103">
        <f>муниц!F23+'Лен '!F23+Высокор!F23+Гост!F23+Новотр!F23+Черн!F23</f>
        <v>0</v>
      </c>
      <c r="G27" s="103">
        <f>муниц!G23+'Лен '!G23+Высокор!G23+Гост!G23+Новотр!G23+Черн!G23</f>
        <v>0</v>
      </c>
      <c r="H27" s="96">
        <f>G27+M27</f>
        <v>0</v>
      </c>
      <c r="I27" s="97">
        <f t="shared" si="2"/>
        <v>0</v>
      </c>
      <c r="J27" s="97">
        <f t="shared" si="3"/>
        <v>0</v>
      </c>
      <c r="K27" s="103">
        <f>муниц!K23+'Лен '!K23+Высокор!K23+Гост!K23+Новотр!K23+Черн!K23</f>
        <v>0</v>
      </c>
      <c r="L27" s="97">
        <f t="shared" si="4"/>
        <v>0</v>
      </c>
      <c r="M27" s="103">
        <f>муниц!M23+'Лен '!M23+Высокор!M23+Гост!M23+Новотр!M23+Черн!M23</f>
        <v>0</v>
      </c>
      <c r="N27" s="103">
        <f>муниц!N23+'Лен '!N23+Высокор!N23+Гост!N23+Новотр!N23+Черн!N23</f>
        <v>0</v>
      </c>
      <c r="O27" s="97">
        <f t="shared" si="6"/>
        <v>0</v>
      </c>
      <c r="P27" s="103">
        <f>муниц!P23+'Лен '!P23+Высокор!P23+Гост!P23+Новотр!P23+Черн!P23</f>
        <v>0</v>
      </c>
      <c r="Q27" s="103">
        <f>муниц!Q23+'Лен '!Q23+Высокор!Q23+Гост!Q23+Новотр!Q23+Черн!Q23</f>
        <v>0</v>
      </c>
      <c r="R27" s="103">
        <f>муниц!R23+'Лен '!R23+Высокор!R23+Гост!R23+Новотр!R23+Черн!R23</f>
        <v>0</v>
      </c>
      <c r="S27" s="26"/>
    </row>
    <row r="28" spans="1:19" ht="18">
      <c r="A28" s="14" t="s">
        <v>22</v>
      </c>
      <c r="B28" s="20"/>
      <c r="C28" s="107">
        <f t="shared" ref="C28:H28" si="11">C29+C35+C36+C40+C43+C44</f>
        <v>37001.800000000003</v>
      </c>
      <c r="D28" s="108">
        <f t="shared" si="11"/>
        <v>-391.6</v>
      </c>
      <c r="E28" s="108">
        <f t="shared" si="11"/>
        <v>36610.200000000004</v>
      </c>
      <c r="F28" s="108">
        <f t="shared" si="11"/>
        <v>7948.7</v>
      </c>
      <c r="G28" s="108">
        <f t="shared" si="11"/>
        <v>2982.1000000000004</v>
      </c>
      <c r="H28" s="108">
        <f t="shared" si="11"/>
        <v>6413.1</v>
      </c>
      <c r="I28" s="95">
        <f t="shared" si="2"/>
        <v>0.17517249291181144</v>
      </c>
      <c r="J28" s="95">
        <f t="shared" si="3"/>
        <v>0.80681117667039903</v>
      </c>
      <c r="K28" s="108">
        <f>K29+K35+K36+K40+K43+K44</f>
        <v>5212.2</v>
      </c>
      <c r="L28" s="95">
        <f t="shared" si="4"/>
        <v>1.2304017497409925</v>
      </c>
      <c r="M28" s="108">
        <f>M29+M35+M36+M40+M43+M44</f>
        <v>3431</v>
      </c>
      <c r="N28" s="108">
        <f>N29+N35+N36+N40+N43+N44</f>
        <v>2342.3000000000002</v>
      </c>
      <c r="O28" s="95">
        <f t="shared" si="6"/>
        <v>1.4647995559919735</v>
      </c>
      <c r="P28" s="108">
        <f>P29+P35+P36+P40+P43+P44</f>
        <v>699.1</v>
      </c>
      <c r="Q28" s="108">
        <f>Q29+Q35+Q36+Q40+Q43+Q44</f>
        <v>516.4</v>
      </c>
      <c r="R28" s="108">
        <f>R29+R35+R36+R40+R43+R44</f>
        <v>881.2</v>
      </c>
      <c r="S28" s="26"/>
    </row>
    <row r="29" spans="1:19" ht="18">
      <c r="A29" s="9" t="s">
        <v>85</v>
      </c>
      <c r="B29" s="18">
        <v>1110000000</v>
      </c>
      <c r="C29" s="103">
        <f t="shared" ref="C29:H29" si="12">SUM(C30:C34)</f>
        <v>4735</v>
      </c>
      <c r="D29" s="103">
        <f t="shared" si="12"/>
        <v>0</v>
      </c>
      <c r="E29" s="103">
        <f t="shared" si="12"/>
        <v>4735</v>
      </c>
      <c r="F29" s="103">
        <f t="shared" si="12"/>
        <v>2087.3000000000002</v>
      </c>
      <c r="G29" s="103">
        <f t="shared" si="12"/>
        <v>583.79999999999995</v>
      </c>
      <c r="H29" s="103">
        <f t="shared" si="12"/>
        <v>1117.9000000000001</v>
      </c>
      <c r="I29" s="97">
        <f t="shared" si="2"/>
        <v>0.23609292502639917</v>
      </c>
      <c r="J29" s="97">
        <f t="shared" si="3"/>
        <v>0.53557227039716382</v>
      </c>
      <c r="K29" s="103">
        <f>SUM(K30:K34)</f>
        <v>1341.3999999999999</v>
      </c>
      <c r="L29" s="97">
        <f t="shared" si="4"/>
        <v>0.83338303265245284</v>
      </c>
      <c r="M29" s="103">
        <f>SUM(M30:M34)</f>
        <v>534.1</v>
      </c>
      <c r="N29" s="103">
        <f>SUM(N30:N34)</f>
        <v>662.89999999999986</v>
      </c>
      <c r="O29" s="97">
        <f t="shared" si="6"/>
        <v>0.80570221752903926</v>
      </c>
      <c r="P29" s="103">
        <f>SUM(P30:P34)</f>
        <v>699.1</v>
      </c>
      <c r="Q29" s="103">
        <f>SUM(Q30:Q34)</f>
        <v>516.4</v>
      </c>
      <c r="R29" s="103">
        <f>SUM(R30:R34)</f>
        <v>881.2</v>
      </c>
      <c r="S29" s="26"/>
    </row>
    <row r="30" spans="1:19" ht="0.75" customHeight="1">
      <c r="A30" s="13" t="s">
        <v>20</v>
      </c>
      <c r="B30" s="13">
        <v>1110105005</v>
      </c>
      <c r="C30" s="98">
        <f>муниц!C26</f>
        <v>0</v>
      </c>
      <c r="D30" s="98">
        <f>муниц!D26</f>
        <v>0</v>
      </c>
      <c r="E30" s="102">
        <f t="shared" ref="E30:E43" si="13">C30+D30</f>
        <v>0</v>
      </c>
      <c r="F30" s="98">
        <f>муниц!F26</f>
        <v>0</v>
      </c>
      <c r="G30" s="98">
        <f>муниц!G26</f>
        <v>0</v>
      </c>
      <c r="H30" s="100">
        <f t="shared" ref="H30:H35" si="14">G30+M30</f>
        <v>0</v>
      </c>
      <c r="I30" s="101">
        <f t="shared" si="2"/>
        <v>0</v>
      </c>
      <c r="J30" s="101">
        <f t="shared" si="3"/>
        <v>0</v>
      </c>
      <c r="K30" s="98">
        <f>муниц!K26</f>
        <v>0</v>
      </c>
      <c r="L30" s="101">
        <f t="shared" si="4"/>
        <v>0</v>
      </c>
      <c r="M30" s="98">
        <f>муниц!M26</f>
        <v>0</v>
      </c>
      <c r="N30" s="98">
        <f>муниц!N26</f>
        <v>0</v>
      </c>
      <c r="O30" s="101">
        <f t="shared" si="6"/>
        <v>0</v>
      </c>
      <c r="P30" s="98"/>
      <c r="Q30" s="98"/>
      <c r="R30" s="98"/>
      <c r="S30" s="26"/>
    </row>
    <row r="31" spans="1:19" ht="18">
      <c r="A31" s="13" t="s">
        <v>1</v>
      </c>
      <c r="B31" s="13">
        <v>1110501013</v>
      </c>
      <c r="C31" s="98">
        <f>муниц!C27+муниц!C28+'Лен '!C26+'Лен '!C27</f>
        <v>2767</v>
      </c>
      <c r="D31" s="98">
        <f>муниц!D27+муниц!D28+'Лен '!D26+Высокор!D26+Гост!D26+Новотр!D26+Черн!D26+'Лен '!D27</f>
        <v>0</v>
      </c>
      <c r="E31" s="102">
        <f t="shared" si="13"/>
        <v>2767</v>
      </c>
      <c r="F31" s="98">
        <f>муниц!F27+муниц!F28+'Лен '!F26+Высокор!F26+Гост!F26+Новотр!F26+Черн!F26</f>
        <v>900</v>
      </c>
      <c r="G31" s="98">
        <f>муниц!G27+муниц!G28+'Лен '!G26+'Лен '!G27+Новотр!G26</f>
        <v>244.7</v>
      </c>
      <c r="H31" s="100">
        <f t="shared" si="14"/>
        <v>566.29999999999995</v>
      </c>
      <c r="I31" s="101">
        <f t="shared" si="2"/>
        <v>0.20466208890495119</v>
      </c>
      <c r="J31" s="101">
        <f t="shared" si="3"/>
        <v>0.62922222222222213</v>
      </c>
      <c r="K31" s="98">
        <f>муниц!K27+муниц!K28+'Лен '!K26+'Лен '!K27</f>
        <v>879.29999999999984</v>
      </c>
      <c r="L31" s="101">
        <f t="shared" si="4"/>
        <v>0.64403502786307298</v>
      </c>
      <c r="M31" s="98">
        <f>муниц!M27+муниц!M28+'Лен '!M26+'Лен '!M27+Новотр!M26</f>
        <v>321.59999999999997</v>
      </c>
      <c r="N31" s="98">
        <f>муниц!N27+муниц!N28+'Лен '!N26+'Лен '!N27</f>
        <v>524.19999999999993</v>
      </c>
      <c r="O31" s="101">
        <f t="shared" si="6"/>
        <v>0.61350629530713474</v>
      </c>
      <c r="P31" s="98">
        <f>муниц!P27+муниц!P28+'Лен '!P26+Высокор!P26+Гост!P26+Новотр!P26+Черн!P26</f>
        <v>638.6</v>
      </c>
      <c r="Q31" s="98">
        <f>муниц!Q27+муниц!Q28+'Лен '!Q26+Высокор!Q26+Гост!Q26+Новотр!Q26+Черн!Q26</f>
        <v>403.4</v>
      </c>
      <c r="R31" s="98">
        <f>муниц!R27+муниц!R28+'Лен '!R26+Высокор!R26+Гост!R26+Новотр!R26+Черн!R26</f>
        <v>752.2</v>
      </c>
      <c r="S31" s="26"/>
    </row>
    <row r="32" spans="1:19" ht="18">
      <c r="A32" s="13" t="s">
        <v>17</v>
      </c>
      <c r="B32" s="13">
        <v>1110503510</v>
      </c>
      <c r="C32" s="98">
        <f>муниц!C29</f>
        <v>590</v>
      </c>
      <c r="D32" s="98">
        <f>муниц!D29</f>
        <v>0</v>
      </c>
      <c r="E32" s="102">
        <f t="shared" si="13"/>
        <v>590</v>
      </c>
      <c r="F32" s="98">
        <f>муниц!F29</f>
        <v>1187.3</v>
      </c>
      <c r="G32" s="98">
        <f>муниц!G29</f>
        <v>153.80000000000001</v>
      </c>
      <c r="H32" s="100">
        <f t="shared" si="14"/>
        <v>228.20000000000002</v>
      </c>
      <c r="I32" s="101">
        <f t="shared" si="2"/>
        <v>0.38677966101694916</v>
      </c>
      <c r="J32" s="101">
        <f t="shared" si="3"/>
        <v>0.1922007917122884</v>
      </c>
      <c r="K32" s="98">
        <f>муниц!K29</f>
        <v>110.5</v>
      </c>
      <c r="L32" s="101">
        <f t="shared" si="4"/>
        <v>2.0651583710407242</v>
      </c>
      <c r="M32" s="98">
        <f>муниц!M29</f>
        <v>74.400000000000006</v>
      </c>
      <c r="N32" s="98">
        <f>муниц!N29</f>
        <v>26.7</v>
      </c>
      <c r="O32" s="101">
        <f t="shared" si="6"/>
        <v>2.7865168539325844</v>
      </c>
      <c r="P32" s="98">
        <f>муниц!P29+Новотр!P27</f>
        <v>60.5</v>
      </c>
      <c r="Q32" s="98">
        <f>муниц!Q29</f>
        <v>113</v>
      </c>
      <c r="R32" s="98">
        <f>муниц!R29</f>
        <v>129</v>
      </c>
      <c r="S32" s="26"/>
    </row>
    <row r="33" spans="1:19" ht="18">
      <c r="A33" s="13" t="s">
        <v>110</v>
      </c>
      <c r="B33" s="13">
        <v>1110507500</v>
      </c>
      <c r="C33" s="98">
        <f>'Лен '!C28+муниц!C30+Высокор!C26</f>
        <v>692</v>
      </c>
      <c r="D33" s="98">
        <f>'Лен '!D28+муниц!D30</f>
        <v>0</v>
      </c>
      <c r="E33" s="99">
        <f t="shared" si="13"/>
        <v>692</v>
      </c>
      <c r="F33" s="98">
        <f>'Лен '!F30+Гост!F27</f>
        <v>0</v>
      </c>
      <c r="G33" s="98">
        <f>'Лен '!G28+муниц!G30+Высокор!G26</f>
        <v>64.2</v>
      </c>
      <c r="H33" s="100">
        <f t="shared" si="14"/>
        <v>120.60000000000001</v>
      </c>
      <c r="I33" s="101">
        <f t="shared" si="2"/>
        <v>0.17427745664739885</v>
      </c>
      <c r="J33" s="101">
        <f t="shared" si="3"/>
        <v>0</v>
      </c>
      <c r="K33" s="98">
        <f>'Лен '!K28+муниц!K30+Высокор!K26</f>
        <v>161.80000000000001</v>
      </c>
      <c r="L33" s="101">
        <f t="shared" si="4"/>
        <v>0.74536464771322619</v>
      </c>
      <c r="M33" s="98">
        <f>'Лен '!M28+муниц!M30+Высокор!M26</f>
        <v>56.400000000000006</v>
      </c>
      <c r="N33" s="98">
        <f>'Лен '!N28+муниц!N30+Высокор!N26</f>
        <v>41.3</v>
      </c>
      <c r="O33" s="101">
        <f t="shared" si="6"/>
        <v>1.3656174334140438</v>
      </c>
      <c r="P33" s="109"/>
      <c r="Q33" s="109"/>
      <c r="R33" s="109"/>
      <c r="S33" s="26"/>
    </row>
    <row r="34" spans="1:19" ht="18">
      <c r="A34" s="13" t="s">
        <v>23</v>
      </c>
      <c r="B34" s="13">
        <v>1110904505</v>
      </c>
      <c r="C34" s="98">
        <f>муниц!C31+'Лен '!C29+Высокор!C27+Гост!C28+Новотр!C27+Черн!C27</f>
        <v>686</v>
      </c>
      <c r="D34" s="98">
        <f>муниц!D31+'Лен '!D29+Высокор!D27+Гост!D28+Новотр!D27+Черн!D27</f>
        <v>0</v>
      </c>
      <c r="E34" s="119">
        <f t="shared" si="13"/>
        <v>686</v>
      </c>
      <c r="F34" s="98">
        <f>муниц!F31+'Лен '!F29+Высокор!F27+Гост!F28+Новотр!F27+Черн!F27</f>
        <v>0</v>
      </c>
      <c r="G34" s="98">
        <f>муниц!G31+'Лен '!G29+Высокор!G27+Гост!G28+Новотр!G27+Черн!G27</f>
        <v>121.1</v>
      </c>
      <c r="H34" s="100">
        <f t="shared" si="14"/>
        <v>202.8</v>
      </c>
      <c r="I34" s="101">
        <f t="shared" si="2"/>
        <v>0.29562682215743441</v>
      </c>
      <c r="J34" s="101">
        <f t="shared" si="3"/>
        <v>0</v>
      </c>
      <c r="K34" s="98">
        <f>муниц!K31+'Лен '!K29+Высокор!K27+Гост!K28+Новотр!K27+Черн!K27</f>
        <v>189.79999999999998</v>
      </c>
      <c r="L34" s="101">
        <f t="shared" si="4"/>
        <v>1.0684931506849316</v>
      </c>
      <c r="M34" s="98">
        <f>муниц!M31+'Лен '!M29+Высокор!M27+Гост!M28+Новотр!M27+Черн!M27</f>
        <v>81.7</v>
      </c>
      <c r="N34" s="98">
        <f>муниц!N31+'Лен '!N29+Высокор!N27+Гост!N28+Новотр!N27+Черн!N27</f>
        <v>70.699999999999989</v>
      </c>
      <c r="O34" s="101">
        <f t="shared" si="6"/>
        <v>1.1555869872701559</v>
      </c>
      <c r="P34" s="109">
        <f>'Лен '!P29</f>
        <v>0</v>
      </c>
      <c r="Q34" s="109">
        <f>'Лен '!Q29+Новотр!Q27</f>
        <v>0</v>
      </c>
      <c r="R34" s="109">
        <f>'Лен '!R29</f>
        <v>0</v>
      </c>
      <c r="S34" s="26"/>
    </row>
    <row r="35" spans="1:19" ht="18">
      <c r="A35" s="9" t="s">
        <v>81</v>
      </c>
      <c r="B35" s="18">
        <v>1120000000</v>
      </c>
      <c r="C35" s="103">
        <f>муниц!C32</f>
        <v>21.3</v>
      </c>
      <c r="D35" s="103">
        <f>муниц!D32</f>
        <v>0</v>
      </c>
      <c r="E35" s="105">
        <f t="shared" si="13"/>
        <v>21.3</v>
      </c>
      <c r="F35" s="103">
        <f>муниц!F32</f>
        <v>75</v>
      </c>
      <c r="G35" s="103">
        <f>муниц!G32</f>
        <v>58.3</v>
      </c>
      <c r="H35" s="96">
        <f t="shared" si="14"/>
        <v>730.4</v>
      </c>
      <c r="I35" s="97">
        <f t="shared" si="2"/>
        <v>34.291079812206569</v>
      </c>
      <c r="J35" s="97">
        <f t="shared" si="3"/>
        <v>9.738666666666667</v>
      </c>
      <c r="K35" s="103">
        <f>муниц!K32</f>
        <v>35.799999999999997</v>
      </c>
      <c r="L35" s="97">
        <f t="shared" si="4"/>
        <v>20.402234636871508</v>
      </c>
      <c r="M35" s="103">
        <f>муниц!M32</f>
        <v>672.1</v>
      </c>
      <c r="N35" s="103">
        <f>муниц!N32</f>
        <v>1.8</v>
      </c>
      <c r="O35" s="97">
        <f t="shared" si="6"/>
        <v>373.38888888888891</v>
      </c>
      <c r="P35" s="96"/>
      <c r="Q35" s="106"/>
      <c r="R35" s="106"/>
      <c r="S35" s="26"/>
    </row>
    <row r="36" spans="1:19" ht="18">
      <c r="A36" s="9" t="s">
        <v>66</v>
      </c>
      <c r="B36" s="18">
        <v>1130000000</v>
      </c>
      <c r="C36" s="103">
        <f t="shared" ref="C36:H36" si="15">SUM(C37:C39)</f>
        <v>8520</v>
      </c>
      <c r="D36" s="103">
        <f t="shared" si="15"/>
        <v>0</v>
      </c>
      <c r="E36" s="104">
        <f t="shared" si="15"/>
        <v>8520</v>
      </c>
      <c r="F36" s="103">
        <f t="shared" si="15"/>
        <v>5703.4</v>
      </c>
      <c r="G36" s="103">
        <f t="shared" si="15"/>
        <v>1778.9</v>
      </c>
      <c r="H36" s="103">
        <f t="shared" si="15"/>
        <v>2666.1</v>
      </c>
      <c r="I36" s="97">
        <f t="shared" si="2"/>
        <v>0.31292253521126762</v>
      </c>
      <c r="J36" s="97">
        <f t="shared" si="3"/>
        <v>0.46745800750429567</v>
      </c>
      <c r="K36" s="103">
        <f>SUM(K37:K39)</f>
        <v>1912.2</v>
      </c>
      <c r="L36" s="97">
        <f t="shared" si="4"/>
        <v>1.3942579228114214</v>
      </c>
      <c r="M36" s="103">
        <f>SUM(M37:M39)</f>
        <v>887.19999999999993</v>
      </c>
      <c r="N36" s="103">
        <f>SUM(N37:N39)</f>
        <v>801.2</v>
      </c>
      <c r="O36" s="97">
        <f t="shared" si="6"/>
        <v>1.1073389915127307</v>
      </c>
      <c r="P36" s="103">
        <f>SUM(P37:P39)</f>
        <v>0</v>
      </c>
      <c r="Q36" s="103">
        <f>SUM(Q37:Q39)</f>
        <v>0</v>
      </c>
      <c r="R36" s="103">
        <f>SUM(R37:R39)</f>
        <v>0</v>
      </c>
      <c r="S36" s="26"/>
    </row>
    <row r="37" spans="1:19" ht="18">
      <c r="A37" s="15" t="s">
        <v>34</v>
      </c>
      <c r="B37" s="22">
        <v>1130199500</v>
      </c>
      <c r="C37" s="110">
        <f>муниц!C34</f>
        <v>8095</v>
      </c>
      <c r="D37" s="110">
        <f>муниц!D34</f>
        <v>0</v>
      </c>
      <c r="E37" s="102">
        <f t="shared" si="13"/>
        <v>8095</v>
      </c>
      <c r="F37" s="110">
        <f>муниц!F34</f>
        <v>5203.3999999999996</v>
      </c>
      <c r="G37" s="110">
        <f>муниц!G34</f>
        <v>1004.2</v>
      </c>
      <c r="H37" s="100">
        <f>G37+M37</f>
        <v>1734.5</v>
      </c>
      <c r="I37" s="101">
        <f>IF(E37&gt;0,H37/E37,0)</f>
        <v>0.21426806670784435</v>
      </c>
      <c r="J37" s="101">
        <f>IF(F37&gt;0,H37/F37,0)</f>
        <v>0.3333397394011608</v>
      </c>
      <c r="K37" s="110">
        <f>муниц!K34</f>
        <v>1660.9</v>
      </c>
      <c r="L37" s="101">
        <f t="shared" si="4"/>
        <v>1.0443133241013907</v>
      </c>
      <c r="M37" s="110">
        <f>муниц!M34</f>
        <v>730.3</v>
      </c>
      <c r="N37" s="110">
        <f>муниц!N34</f>
        <v>685.3</v>
      </c>
      <c r="O37" s="101">
        <f t="shared" si="6"/>
        <v>1.0656646724062455</v>
      </c>
      <c r="P37" s="111"/>
      <c r="Q37" s="112"/>
      <c r="R37" s="112"/>
      <c r="S37" s="26"/>
    </row>
    <row r="38" spans="1:19" ht="18">
      <c r="A38" s="15" t="s">
        <v>35</v>
      </c>
      <c r="B38" s="22">
        <v>1130206500</v>
      </c>
      <c r="C38" s="110">
        <f>муниц!C35+'Лен '!C32</f>
        <v>425</v>
      </c>
      <c r="D38" s="110">
        <f>муниц!D35+'Лен '!D32</f>
        <v>0</v>
      </c>
      <c r="E38" s="119">
        <f t="shared" si="13"/>
        <v>425</v>
      </c>
      <c r="F38" s="110">
        <f>муниц!F35</f>
        <v>500</v>
      </c>
      <c r="G38" s="110">
        <f>муниц!G35+'Лен '!G32</f>
        <v>22.2</v>
      </c>
      <c r="H38" s="100">
        <f>G38+M38</f>
        <v>73.599999999999994</v>
      </c>
      <c r="I38" s="101">
        <f>IF(E38&gt;0,H38/E38,0)</f>
        <v>0.17317647058823529</v>
      </c>
      <c r="J38" s="101">
        <f>IF(F38&gt;0,H38/F38,0)</f>
        <v>0.1472</v>
      </c>
      <c r="K38" s="110">
        <f>муниц!K35+'Лен '!K32</f>
        <v>93.199999999999989</v>
      </c>
      <c r="L38" s="101">
        <f t="shared" si="4"/>
        <v>0.78969957081545072</v>
      </c>
      <c r="M38" s="110">
        <f>муниц!M35+'Лен '!M32</f>
        <v>51.4</v>
      </c>
      <c r="N38" s="110">
        <f>муниц!N35+'Лен '!N32</f>
        <v>29.2</v>
      </c>
      <c r="O38" s="101">
        <f t="shared" si="6"/>
        <v>1.7602739726027397</v>
      </c>
      <c r="P38" s="111"/>
      <c r="Q38" s="112"/>
      <c r="R38" s="112"/>
      <c r="S38" s="26"/>
    </row>
    <row r="39" spans="1:19" ht="18">
      <c r="A39" s="15" t="s">
        <v>38</v>
      </c>
      <c r="B39" s="22">
        <v>1130299510</v>
      </c>
      <c r="C39" s="110">
        <f>муниц!C36+'Лен '!C33+Высокор!C28+Гост!C29+Новотр!C28+Черн!C28</f>
        <v>0</v>
      </c>
      <c r="D39" s="155">
        <f>муниц!D36+'Лен '!D33+Высокор!D28+Гост!D29+Новотр!D28+Черн!D28</f>
        <v>0</v>
      </c>
      <c r="E39" s="119">
        <f t="shared" si="13"/>
        <v>0</v>
      </c>
      <c r="F39" s="110">
        <f>муниц!F36+'Лен '!F33+Высокор!F28+Гост!F29+Новотр!F28+Черн!F28</f>
        <v>0</v>
      </c>
      <c r="G39" s="110">
        <f>муниц!G36+'Лен '!G33+Высокор!G28+Гост!G29+Новотр!G28+Черн!G28</f>
        <v>752.5</v>
      </c>
      <c r="H39" s="100">
        <f>G39+M39</f>
        <v>858</v>
      </c>
      <c r="I39" s="101">
        <f>IF(E39&gt;0,H39/E39,0)</f>
        <v>0</v>
      </c>
      <c r="J39" s="101">
        <f>IF(F39&gt;0,H39/F39,0)</f>
        <v>0</v>
      </c>
      <c r="K39" s="110">
        <f>муниц!K36+'Лен '!K33+Высокор!K28+Гост!K29+Новотр!K28+Черн!K28</f>
        <v>158.1</v>
      </c>
      <c r="L39" s="101">
        <f t="shared" si="4"/>
        <v>5.4269449715370017</v>
      </c>
      <c r="M39" s="110">
        <f>муниц!M36+'Лен '!M33+Высокор!M28+Гост!M29+Новотр!M28+Черн!M28</f>
        <v>105.5</v>
      </c>
      <c r="N39" s="110">
        <f>муниц!N36+'Лен '!N33+Высокор!N28+Гост!N29+Новотр!N28+Черн!N28</f>
        <v>86.7</v>
      </c>
      <c r="O39" s="101">
        <f t="shared" si="6"/>
        <v>1.2168396770472896</v>
      </c>
      <c r="P39" s="111"/>
      <c r="Q39" s="112"/>
      <c r="R39" s="112"/>
      <c r="S39" s="26"/>
    </row>
    <row r="40" spans="1:19" ht="18">
      <c r="A40" s="9" t="s">
        <v>86</v>
      </c>
      <c r="B40" s="18">
        <v>1140000000</v>
      </c>
      <c r="C40" s="103">
        <f t="shared" ref="C40:H40" si="16">SUM(C41:C42)</f>
        <v>20605</v>
      </c>
      <c r="D40" s="103">
        <f t="shared" si="16"/>
        <v>0</v>
      </c>
      <c r="E40" s="103">
        <f t="shared" si="16"/>
        <v>20605</v>
      </c>
      <c r="F40" s="103">
        <f t="shared" si="16"/>
        <v>0</v>
      </c>
      <c r="G40" s="103">
        <f t="shared" si="16"/>
        <v>0</v>
      </c>
      <c r="H40" s="103">
        <f t="shared" si="16"/>
        <v>1.6</v>
      </c>
      <c r="I40" s="97">
        <f t="shared" si="2"/>
        <v>7.7651055569036642E-5</v>
      </c>
      <c r="J40" s="97">
        <f t="shared" si="3"/>
        <v>0</v>
      </c>
      <c r="K40" s="103">
        <f>SUM(K41:K42)</f>
        <v>72.5</v>
      </c>
      <c r="L40" s="97">
        <f t="shared" si="4"/>
        <v>2.2068965517241381E-2</v>
      </c>
      <c r="M40" s="103">
        <f>SUM(M41:M42)</f>
        <v>1.6</v>
      </c>
      <c r="N40" s="103">
        <f>SUM(N41:N42)</f>
        <v>0</v>
      </c>
      <c r="O40" s="97">
        <f t="shared" si="6"/>
        <v>0</v>
      </c>
      <c r="P40" s="106"/>
      <c r="Q40" s="106"/>
      <c r="R40" s="106"/>
      <c r="S40" s="26"/>
    </row>
    <row r="41" spans="1:19" ht="18">
      <c r="A41" s="13" t="s">
        <v>31</v>
      </c>
      <c r="B41" s="13">
        <v>1140205200</v>
      </c>
      <c r="C41" s="110">
        <f>муниц!C38+'Лен '!C35+Высокор!C29+Гост!C30+Новотр!C30+Черн!C29</f>
        <v>20055</v>
      </c>
      <c r="D41" s="110">
        <f>муниц!D38+'Лен '!D35+Высокор!D29+Гост!D30+Новотр!D30+Черн!D29</f>
        <v>0</v>
      </c>
      <c r="E41" s="102">
        <f t="shared" si="13"/>
        <v>20055</v>
      </c>
      <c r="F41" s="110">
        <f>муниц!F38+'Лен '!F35+Высокор!F29+Гост!F30+Новотр!F30+Черн!F29</f>
        <v>0</v>
      </c>
      <c r="G41" s="110">
        <f>муниц!G38+'Лен '!G35+Высокор!G29+Гост!G30+Новотр!G30+Черн!G29</f>
        <v>0</v>
      </c>
      <c r="H41" s="100">
        <f>G41+M41</f>
        <v>0</v>
      </c>
      <c r="I41" s="101">
        <f t="shared" si="2"/>
        <v>0</v>
      </c>
      <c r="J41" s="101">
        <f t="shared" si="3"/>
        <v>0</v>
      </c>
      <c r="K41" s="110">
        <f>муниц!K38+'Лен '!K35+Высокор!K29+Гост!K30+Новотр!K30+Черн!K29</f>
        <v>72.5</v>
      </c>
      <c r="L41" s="101">
        <f t="shared" si="4"/>
        <v>0</v>
      </c>
      <c r="M41" s="110">
        <f>муниц!M38+'Лен '!M35+Высокор!M29+Гост!M30+Новотр!M30+Черн!M29</f>
        <v>0</v>
      </c>
      <c r="N41" s="110">
        <f>муниц!N38+'Лен '!N35+Высокор!N29+Гост!N30+Новотр!N30+Черн!N29</f>
        <v>43.5</v>
      </c>
      <c r="O41" s="101">
        <f t="shared" si="6"/>
        <v>0</v>
      </c>
      <c r="P41" s="112"/>
      <c r="Q41" s="112"/>
      <c r="R41" s="112"/>
      <c r="S41" s="26"/>
    </row>
    <row r="42" spans="1:19" ht="18">
      <c r="A42" s="13" t="s">
        <v>32</v>
      </c>
      <c r="B42" s="13">
        <v>1140600000</v>
      </c>
      <c r="C42" s="110">
        <f>муниц!C39+'Лен '!C36+Высокор!C30+Гост!C31+Новотр!C29+Черн!C30+'Лен '!C37</f>
        <v>550</v>
      </c>
      <c r="D42" s="110">
        <f>муниц!D39+'Лен '!D36+Высокор!D30+Гост!D31+Новотр!D29+Черн!D30+'Лен '!D37</f>
        <v>0</v>
      </c>
      <c r="E42" s="102">
        <f t="shared" si="13"/>
        <v>550</v>
      </c>
      <c r="F42" s="110">
        <f>муниц!F39+'Лен '!F36+Высокор!F30+Гост!F31+Новотр!F29+Черн!F30</f>
        <v>0</v>
      </c>
      <c r="G42" s="110">
        <f>муниц!G39+'Лен '!G36+Высокор!G30+Гост!G31+Новотр!G29+Черн!G30+'Лен '!G37</f>
        <v>0</v>
      </c>
      <c r="H42" s="100">
        <f>G42+M42</f>
        <v>1.6</v>
      </c>
      <c r="I42" s="101">
        <f t="shared" si="2"/>
        <v>2.9090909090909093E-3</v>
      </c>
      <c r="J42" s="101">
        <f t="shared" si="3"/>
        <v>0</v>
      </c>
      <c r="K42" s="110">
        <f>муниц!K39+'Лен '!K36+Высокор!K30+Гост!K31+Новотр!K29+Черн!K30+'Лен '!K37</f>
        <v>0</v>
      </c>
      <c r="L42" s="101">
        <f t="shared" si="4"/>
        <v>0</v>
      </c>
      <c r="M42" s="110">
        <f>муниц!M39+'Лен '!M36+Высокор!M30+Гост!M31+Новотр!M29+Черн!M30+'Лен '!M37</f>
        <v>1.6</v>
      </c>
      <c r="N42" s="110">
        <f>муниц!N39+'Лен '!N36+Высокор!N30+Гост!N31+Новотр!N29+Черн!N30+'Лен '!N37</f>
        <v>-43.5</v>
      </c>
      <c r="O42" s="101">
        <f t="shared" si="6"/>
        <v>0</v>
      </c>
      <c r="P42" s="112"/>
      <c r="Q42" s="112"/>
      <c r="R42" s="112"/>
      <c r="S42" s="26"/>
    </row>
    <row r="43" spans="1:19" ht="18">
      <c r="A43" s="9" t="s">
        <v>87</v>
      </c>
      <c r="B43" s="18">
        <v>1160000000</v>
      </c>
      <c r="C43" s="103">
        <f>муниц!C40+'Лен '!C38+Высокор!C31+Гост!C32+Новотр!C31+Черн!C31</f>
        <v>342.1</v>
      </c>
      <c r="D43" s="103">
        <f>муниц!D40+'Лен '!D38+Высокор!D31+Гост!D32+Новотр!D31+Черн!D31</f>
        <v>0</v>
      </c>
      <c r="E43" s="105">
        <f t="shared" si="13"/>
        <v>342.1</v>
      </c>
      <c r="F43" s="103">
        <f>муниц!F40+'Лен '!F38+Высокор!F31+Гост!F32+Новотр!F31+Черн!F31</f>
        <v>83</v>
      </c>
      <c r="G43" s="103">
        <f>муниц!G40+'Лен '!G38+Высокор!G31+Гост!G32+Новотр!G31+Черн!G31</f>
        <v>228.3</v>
      </c>
      <c r="H43" s="96">
        <f>G43+M43</f>
        <v>750.8</v>
      </c>
      <c r="I43" s="97">
        <f t="shared" si="2"/>
        <v>2.1946799181525867</v>
      </c>
      <c r="J43" s="97">
        <f t="shared" si="3"/>
        <v>9.0457831325301203</v>
      </c>
      <c r="K43" s="103">
        <f>муниц!K40+'Лен '!K38+Высокор!K31+Гост!K32+Новотр!K31+Черн!K31</f>
        <v>480.1</v>
      </c>
      <c r="L43" s="97">
        <f t="shared" si="4"/>
        <v>1.5638408664861485</v>
      </c>
      <c r="M43" s="103">
        <f>муниц!M40+'Лен '!M38+Высокор!M31+Гост!M32+Новотр!M31+Черн!M31</f>
        <v>522.5</v>
      </c>
      <c r="N43" s="103">
        <f>муниц!N40+'Лен '!N38+Высокор!N31+Гост!N32+Новотр!N31+Черн!N31</f>
        <v>128.69999999999999</v>
      </c>
      <c r="O43" s="97">
        <f t="shared" si="6"/>
        <v>4.0598290598290605</v>
      </c>
      <c r="P43" s="106"/>
      <c r="Q43" s="106"/>
      <c r="R43" s="106"/>
      <c r="S43" s="26"/>
    </row>
    <row r="44" spans="1:19" ht="18">
      <c r="A44" s="9" t="s">
        <v>88</v>
      </c>
      <c r="B44" s="18">
        <v>1170000000</v>
      </c>
      <c r="C44" s="103">
        <f t="shared" ref="C44:H44" si="17">SUM(C45:C47)</f>
        <v>2778.4</v>
      </c>
      <c r="D44" s="103">
        <f t="shared" si="17"/>
        <v>-391.6</v>
      </c>
      <c r="E44" s="103">
        <f t="shared" si="17"/>
        <v>2386.8000000000002</v>
      </c>
      <c r="F44" s="103">
        <f t="shared" si="17"/>
        <v>0</v>
      </c>
      <c r="G44" s="103">
        <f t="shared" si="17"/>
        <v>332.8</v>
      </c>
      <c r="H44" s="103">
        <f t="shared" si="17"/>
        <v>1146.3</v>
      </c>
      <c r="I44" s="97">
        <f t="shared" si="2"/>
        <v>0.48026646556058317</v>
      </c>
      <c r="J44" s="97">
        <f t="shared" si="3"/>
        <v>0</v>
      </c>
      <c r="K44" s="103">
        <f>SUM(K45:K47)</f>
        <v>1370.2</v>
      </c>
      <c r="L44" s="97">
        <f t="shared" si="4"/>
        <v>0.83659319807327392</v>
      </c>
      <c r="M44" s="103">
        <f>SUM(M45:M47)</f>
        <v>813.5</v>
      </c>
      <c r="N44" s="103">
        <f>SUM(N45:N47)</f>
        <v>747.7</v>
      </c>
      <c r="O44" s="97">
        <f t="shared" si="6"/>
        <v>1.0880032098435202</v>
      </c>
      <c r="P44" s="103">
        <f>SUM(P45:P46)</f>
        <v>0</v>
      </c>
      <c r="Q44" s="103">
        <f>SUM(Q45:Q46)</f>
        <v>0</v>
      </c>
      <c r="R44" s="103">
        <f>SUM(R45:R46)</f>
        <v>0</v>
      </c>
      <c r="S44" s="26"/>
    </row>
    <row r="45" spans="1:19" ht="18">
      <c r="A45" s="13" t="s">
        <v>8</v>
      </c>
      <c r="B45" s="13">
        <v>1170105005</v>
      </c>
      <c r="C45" s="98"/>
      <c r="D45" s="98"/>
      <c r="E45" s="102">
        <f>C45+D45</f>
        <v>0</v>
      </c>
      <c r="F45" s="98"/>
      <c r="G45" s="98">
        <f>муниц!G42+'Лен '!G40+Высокор!G33+Гост!G34+Новотр!G33+Черн!G33</f>
        <v>-1.2</v>
      </c>
      <c r="H45" s="100">
        <f>G45+M45</f>
        <v>-1.2</v>
      </c>
      <c r="I45" s="101">
        <f t="shared" si="2"/>
        <v>0</v>
      </c>
      <c r="J45" s="101">
        <f t="shared" si="3"/>
        <v>0</v>
      </c>
      <c r="K45" s="98">
        <f>муниц!K42+'Лен '!K40+Высокор!K33+Гост!K34+Новотр!K33+Черн!K33</f>
        <v>46.6</v>
      </c>
      <c r="L45" s="101">
        <f t="shared" si="4"/>
        <v>-2.575107296137339E-2</v>
      </c>
      <c r="M45" s="98">
        <f>муниц!M42+'Лен '!M40+Высокор!M33+Гост!M34+Новотр!M33+Черн!M33</f>
        <v>0</v>
      </c>
      <c r="N45" s="98">
        <f>муниц!N42+'Лен '!N40+Высокор!N33+Гост!N34+Новотр!N33+Черн!N33</f>
        <v>24.1</v>
      </c>
      <c r="O45" s="101">
        <f t="shared" si="6"/>
        <v>0</v>
      </c>
      <c r="P45" s="101"/>
      <c r="Q45" s="109"/>
      <c r="R45" s="109"/>
      <c r="S45" s="26"/>
    </row>
    <row r="46" spans="1:19" ht="18">
      <c r="A46" s="13" t="s">
        <v>14</v>
      </c>
      <c r="B46" s="13">
        <v>1170505005</v>
      </c>
      <c r="C46" s="98">
        <f>муниц!C43+'Лен '!C41+Высокор!C34+Гост!C35+Новотр!C34+Черн!C34</f>
        <v>0</v>
      </c>
      <c r="D46" s="98">
        <f>муниц!D43+'Лен '!D41+Высокор!D34+Гост!D35+Новотр!D34+Черн!D34</f>
        <v>0</v>
      </c>
      <c r="E46" s="102">
        <f>C46+D46</f>
        <v>0</v>
      </c>
      <c r="F46" s="98">
        <f>муниц!F43+'Лен '!F41+Высокор!F34+Гост!F35+Новотр!F34+Черн!F34</f>
        <v>0</v>
      </c>
      <c r="G46" s="98">
        <f>муниц!G43+'Лен '!G41+Высокор!G34+Гост!G35+Новотр!G34+Черн!G34</f>
        <v>0</v>
      </c>
      <c r="H46" s="100">
        <f>G46+M46</f>
        <v>0</v>
      </c>
      <c r="I46" s="101">
        <f t="shared" si="2"/>
        <v>0</v>
      </c>
      <c r="J46" s="101">
        <f t="shared" si="3"/>
        <v>0</v>
      </c>
      <c r="K46" s="98">
        <f>муниц!K43+'Лен '!K41+Высокор!K34+Гост!K35+Новотр!K34+Черн!K34</f>
        <v>0.1</v>
      </c>
      <c r="L46" s="101">
        <f t="shared" si="4"/>
        <v>0</v>
      </c>
      <c r="M46" s="98">
        <f>муниц!M43+'Лен '!M41+Высокор!M34+Гост!M35+Новотр!M34+Черн!M34</f>
        <v>0</v>
      </c>
      <c r="N46" s="98">
        <f>муниц!N43+'Лен '!N41+Высокор!N34+Гост!N35+Новотр!N34+Черн!N34</f>
        <v>0.1</v>
      </c>
      <c r="O46" s="101">
        <f t="shared" si="6"/>
        <v>0</v>
      </c>
      <c r="P46" s="98"/>
      <c r="Q46" s="98"/>
      <c r="R46" s="98"/>
      <c r="S46" s="26"/>
    </row>
    <row r="47" spans="1:19" ht="18">
      <c r="A47" s="45" t="s">
        <v>115</v>
      </c>
      <c r="B47" s="179">
        <v>1171503005</v>
      </c>
      <c r="C47" s="98">
        <f>муниц!C44+'Лен '!C42+Высокор!C35+Гост!C36+Новотр!C35+Черн!C35</f>
        <v>2778.4</v>
      </c>
      <c r="D47" s="183">
        <f>муниц!D44+'Лен '!D42+Высокор!D35+Гост!D36+Новотр!D35+Черн!D35</f>
        <v>-391.6</v>
      </c>
      <c r="E47" s="102">
        <f>C47+D47</f>
        <v>2386.8000000000002</v>
      </c>
      <c r="F47" s="98"/>
      <c r="G47" s="98">
        <f>муниц!G44+'Лен '!G42+Высокор!G35+Гост!G36+Новотр!G35+Черн!G35</f>
        <v>334</v>
      </c>
      <c r="H47" s="100">
        <f>G47+M47</f>
        <v>1147.5</v>
      </c>
      <c r="I47" s="101">
        <f t="shared" si="2"/>
        <v>0.48076923076923073</v>
      </c>
      <c r="J47" s="101"/>
      <c r="K47" s="98">
        <f>муниц!K44+'Лен '!K42</f>
        <v>1323.5</v>
      </c>
      <c r="L47" s="101">
        <f t="shared" si="4"/>
        <v>0.86701926709482435</v>
      </c>
      <c r="M47" s="98">
        <f>муниц!M44+'Лен '!M42+Высокор!M35+Гост!M36+Новотр!M35+Черн!M35</f>
        <v>813.5</v>
      </c>
      <c r="N47" s="98">
        <f>муниц!N44+'Лен '!N42</f>
        <v>723.5</v>
      </c>
      <c r="O47" s="101">
        <f t="shared" si="6"/>
        <v>1.1243953006219765</v>
      </c>
      <c r="P47" s="98"/>
      <c r="Q47" s="98"/>
      <c r="R47" s="98"/>
      <c r="S47" s="26"/>
    </row>
    <row r="48" spans="1:19" ht="18">
      <c r="A48" s="16" t="s">
        <v>6</v>
      </c>
      <c r="B48" s="23">
        <v>1000000000</v>
      </c>
      <c r="C48" s="113">
        <f t="shared" ref="C48:H48" si="18">C5+C28</f>
        <v>136611.20000000001</v>
      </c>
      <c r="D48" s="113">
        <f t="shared" si="18"/>
        <v>-23.023000000000025</v>
      </c>
      <c r="E48" s="181">
        <f t="shared" si="18"/>
        <v>136588.177</v>
      </c>
      <c r="F48" s="115">
        <f t="shared" si="18"/>
        <v>31471.4</v>
      </c>
      <c r="G48" s="116">
        <f t="shared" si="18"/>
        <v>7706.4000000000005</v>
      </c>
      <c r="H48" s="116">
        <f t="shared" si="18"/>
        <v>26829.5</v>
      </c>
      <c r="I48" s="117">
        <f t="shared" si="2"/>
        <v>0.1964262250897455</v>
      </c>
      <c r="J48" s="117">
        <f t="shared" si="3"/>
        <v>0.85250417839689363</v>
      </c>
      <c r="K48" s="114">
        <f>K5+K28</f>
        <v>26706.2</v>
      </c>
      <c r="L48" s="117">
        <f t="shared" si="4"/>
        <v>1.0046169054376886</v>
      </c>
      <c r="M48" s="116">
        <f>M5+M28</f>
        <v>19123.099999999999</v>
      </c>
      <c r="N48" s="116">
        <f>N5+N28</f>
        <v>12670</v>
      </c>
      <c r="O48" s="117">
        <f t="shared" si="6"/>
        <v>1.5093212312549329</v>
      </c>
      <c r="P48" s="114">
        <f>P5+P28</f>
        <v>1809.6</v>
      </c>
      <c r="Q48" s="114">
        <f>Q5+Q28</f>
        <v>2800.7</v>
      </c>
      <c r="R48" s="114">
        <f>R5+R28</f>
        <v>881.2</v>
      </c>
      <c r="S48" s="26"/>
    </row>
    <row r="49" spans="1:19" ht="18">
      <c r="A49" s="13" t="s">
        <v>36</v>
      </c>
      <c r="B49" s="21">
        <v>2000000000</v>
      </c>
      <c r="C49" s="118">
        <f>муниц!C47+1.6+3342.4+401.5+707.4+13.86+620.9+270.6+2484.5</f>
        <v>246223.43</v>
      </c>
      <c r="D49" s="118">
        <f>муниц!D47+3916.439+9900+419.85+3083</f>
        <v>43216.688999999998</v>
      </c>
      <c r="E49" s="119">
        <f>C49+D49</f>
        <v>289440.11900000001</v>
      </c>
      <c r="F49" s="100">
        <f>муниц!F47</f>
        <v>74695.19</v>
      </c>
      <c r="G49" s="100">
        <f>муниц!G47+17.3+48.5</f>
        <v>37921.5</v>
      </c>
      <c r="H49" s="100">
        <f>G49+M49</f>
        <v>57930.600000000006</v>
      </c>
      <c r="I49" s="101">
        <f t="shared" si="2"/>
        <v>0.20014709847462439</v>
      </c>
      <c r="J49" s="101">
        <f t="shared" si="3"/>
        <v>0.77555997916331698</v>
      </c>
      <c r="K49" s="100">
        <v>63358.1</v>
      </c>
      <c r="L49" s="101">
        <f t="shared" si="4"/>
        <v>0.91433613066048391</v>
      </c>
      <c r="M49" s="100">
        <f>муниц!M47+47.7</f>
        <v>20009.100000000002</v>
      </c>
      <c r="N49" s="100">
        <v>36527.800000000003</v>
      </c>
      <c r="O49" s="101">
        <f t="shared" si="6"/>
        <v>0.54777730933699809</v>
      </c>
      <c r="P49" s="109"/>
      <c r="Q49" s="109"/>
      <c r="R49" s="109"/>
      <c r="S49" s="26"/>
    </row>
    <row r="50" spans="1:19" ht="18.75">
      <c r="A50" s="8" t="s">
        <v>113</v>
      </c>
      <c r="B50" s="127" t="s">
        <v>102</v>
      </c>
      <c r="C50" s="100">
        <f>муниц!C48+'Лен '!C46+Высокор!C39+Новотр!C39</f>
        <v>43.5</v>
      </c>
      <c r="D50" s="118">
        <f>муниц!D48</f>
        <v>0</v>
      </c>
      <c r="E50" s="102">
        <f>C50+D50</f>
        <v>43.5</v>
      </c>
      <c r="F50" s="100"/>
      <c r="G50" s="100">
        <f>муниц!G48+Высокор!G39+Новотр!G39</f>
        <v>9.3000000000000007</v>
      </c>
      <c r="H50" s="100">
        <f>G50+M50</f>
        <v>13.9</v>
      </c>
      <c r="I50" s="101">
        <f t="shared" si="2"/>
        <v>0.31954022988505748</v>
      </c>
      <c r="J50" s="101"/>
      <c r="K50" s="100"/>
      <c r="L50" s="101">
        <f t="shared" si="4"/>
        <v>0</v>
      </c>
      <c r="M50" s="100">
        <f>муниц!M48+Высокор!M39+Новотр!M39</f>
        <v>4.5999999999999996</v>
      </c>
      <c r="N50" s="100"/>
      <c r="O50" s="101">
        <f t="shared" si="6"/>
        <v>0</v>
      </c>
      <c r="P50" s="109"/>
      <c r="Q50" s="109"/>
      <c r="R50" s="109"/>
      <c r="S50" s="26"/>
    </row>
    <row r="51" spans="1:19" ht="18">
      <c r="A51" s="13" t="s">
        <v>46</v>
      </c>
      <c r="B51" s="24" t="s">
        <v>39</v>
      </c>
      <c r="C51" s="98">
        <f>муниц!C49+Высокор!C40+Новотр!C40</f>
        <v>69.3</v>
      </c>
      <c r="D51" s="183">
        <f>муниц!D49+'Лен '!D46+Высокор!D39+Гост!D40+Новотр!D39+Черн!D39</f>
        <v>0</v>
      </c>
      <c r="E51" s="102">
        <f>C51+D51</f>
        <v>69.3</v>
      </c>
      <c r="F51" s="98">
        <f>муниц!F48+'Лен '!F46+Высокор!F39+Гост!F40+Новотр!F39+Черн!F39</f>
        <v>0</v>
      </c>
      <c r="G51" s="98">
        <f>муниц!G49+Высокор!G40+Новотр!G40</f>
        <v>30.7</v>
      </c>
      <c r="H51" s="100">
        <f>G51+M51</f>
        <v>64.5</v>
      </c>
      <c r="I51" s="101">
        <f>IF(E51&gt;0,H51/E51,0)</f>
        <v>0.93073593073593075</v>
      </c>
      <c r="J51" s="101">
        <f>IF(F51&gt;0,H51/F51,0)</f>
        <v>0</v>
      </c>
      <c r="K51" s="98">
        <v>5.0999999999999996</v>
      </c>
      <c r="L51" s="101">
        <f t="shared" si="4"/>
        <v>12.647058823529413</v>
      </c>
      <c r="M51" s="98">
        <f>муниц!M49+Высокор!M40+Новотр!M40</f>
        <v>33.799999999999997</v>
      </c>
      <c r="N51" s="98">
        <v>3.1</v>
      </c>
      <c r="O51" s="101">
        <f t="shared" si="6"/>
        <v>10.903225806451612</v>
      </c>
      <c r="P51" s="109"/>
      <c r="Q51" s="109"/>
      <c r="R51" s="109"/>
      <c r="S51" s="26"/>
    </row>
    <row r="52" spans="1:19" ht="21" customHeight="1">
      <c r="A52" s="8" t="s">
        <v>93</v>
      </c>
      <c r="B52" s="127" t="s">
        <v>94</v>
      </c>
      <c r="C52" s="98"/>
      <c r="D52" s="98">
        <f>муниц!D51</f>
        <v>0</v>
      </c>
      <c r="E52" s="119">
        <f>C52+D52</f>
        <v>0</v>
      </c>
      <c r="F52" s="98"/>
      <c r="G52" s="98">
        <f>муниц!G51</f>
        <v>0</v>
      </c>
      <c r="H52" s="100">
        <f>G52+M52</f>
        <v>0</v>
      </c>
      <c r="I52" s="101"/>
      <c r="J52" s="101"/>
      <c r="K52" s="98">
        <v>-22.1</v>
      </c>
      <c r="L52" s="101">
        <f t="shared" si="4"/>
        <v>0</v>
      </c>
      <c r="M52" s="98">
        <f>муниц!M51</f>
        <v>0</v>
      </c>
      <c r="N52" s="98"/>
      <c r="O52" s="101"/>
      <c r="P52" s="109"/>
      <c r="Q52" s="109"/>
      <c r="R52" s="109"/>
      <c r="S52" s="26"/>
    </row>
    <row r="53" spans="1:19" ht="18">
      <c r="A53" s="16" t="s">
        <v>2</v>
      </c>
      <c r="B53" s="25"/>
      <c r="C53" s="116">
        <f t="shared" ref="C53:H53" si="19">C48+C49+C50+C51+C52</f>
        <v>382947.43</v>
      </c>
      <c r="D53" s="116">
        <f t="shared" si="19"/>
        <v>43193.665999999997</v>
      </c>
      <c r="E53" s="113">
        <f t="shared" si="19"/>
        <v>426141.09599999996</v>
      </c>
      <c r="F53" s="116">
        <f t="shared" si="19"/>
        <v>106166.59</v>
      </c>
      <c r="G53" s="116">
        <f t="shared" si="19"/>
        <v>45667.9</v>
      </c>
      <c r="H53" s="116">
        <f t="shared" si="19"/>
        <v>84838.5</v>
      </c>
      <c r="I53" s="117">
        <f t="shared" si="2"/>
        <v>0.19908546910012173</v>
      </c>
      <c r="J53" s="117">
        <f t="shared" si="3"/>
        <v>0.7991073274558409</v>
      </c>
      <c r="K53" s="116">
        <f>K48+K49+K50+K51+K52</f>
        <v>90047.3</v>
      </c>
      <c r="L53" s="117">
        <f t="shared" si="4"/>
        <v>0.94215484528686588</v>
      </c>
      <c r="M53" s="116">
        <f>M48+M49+M50+M51+M52</f>
        <v>39170.6</v>
      </c>
      <c r="N53" s="116">
        <f>N48+N49+N50+N51+N52</f>
        <v>49200.9</v>
      </c>
      <c r="O53" s="117">
        <f t="shared" si="6"/>
        <v>0.79613584304352147</v>
      </c>
      <c r="P53" s="114">
        <f>P48+P49</f>
        <v>1809.6</v>
      </c>
      <c r="Q53" s="114">
        <f>Q48+Q49</f>
        <v>2800.7</v>
      </c>
      <c r="R53" s="114">
        <f>R48+R49</f>
        <v>881.2</v>
      </c>
      <c r="S53" s="26"/>
    </row>
    <row r="54" spans="1:19" ht="15">
      <c r="B54" s="26"/>
      <c r="C54" s="26"/>
      <c r="D54" s="26"/>
      <c r="E54" s="26"/>
      <c r="F54" s="26"/>
      <c r="G54" s="26"/>
      <c r="H54" s="27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5" spans="1:19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9" ht="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9" ht="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9" ht="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9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1:19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9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9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9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9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2:18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2:18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2:18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2:18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2:18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2:18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2:18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2:18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2:18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2:18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2:18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2:18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2:18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2:18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2:18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2:18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2:18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2:18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2:18" ht="1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2:18" ht="1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2:18" ht="1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</sheetData>
  <mergeCells count="15">
    <mergeCell ref="A1:R1"/>
    <mergeCell ref="A2:R2"/>
    <mergeCell ref="K3:L3"/>
    <mergeCell ref="P3:R3"/>
    <mergeCell ref="M3:M4"/>
    <mergeCell ref="N3:N4"/>
    <mergeCell ref="O3:O4"/>
    <mergeCell ref="H3:J3"/>
    <mergeCell ref="A3:A4"/>
    <mergeCell ref="B3:B4"/>
    <mergeCell ref="D3:D4"/>
    <mergeCell ref="E3:E4"/>
    <mergeCell ref="G3:G4"/>
    <mergeCell ref="F3:F4"/>
    <mergeCell ref="C3:C4"/>
  </mergeCells>
  <phoneticPr fontId="0" type="noConversion"/>
  <pageMargins left="0.35433070866141736" right="0.15748031496062992" top="0.59055118110236227" bottom="0.19685039370078741" header="0.51181102362204722" footer="0.51181102362204722"/>
  <pageSetup paperSize="9" scale="53" orientation="landscape" r:id="rId1"/>
  <headerFooter alignWithMargins="0"/>
  <rowBreaks count="1" manualBreakCount="1">
    <brk id="5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муниц</vt:lpstr>
      <vt:lpstr>Лен </vt:lpstr>
      <vt:lpstr>Высокор</vt:lpstr>
      <vt:lpstr>Гост</vt:lpstr>
      <vt:lpstr>Новотр</vt:lpstr>
      <vt:lpstr>Черн</vt:lpstr>
      <vt:lpstr>консолид</vt:lpstr>
      <vt:lpstr>консолид!Область_печати</vt:lpstr>
      <vt:lpstr>муниц!Область_печати</vt:lpstr>
      <vt:lpstr>Черн!Область_печати</vt:lpstr>
    </vt:vector>
  </TitlesOfParts>
  <Company>Шабалино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ОПД</dc:creator>
  <cp:lastModifiedBy>1</cp:lastModifiedBy>
  <cp:lastPrinted>2023-03-31T10:45:44Z</cp:lastPrinted>
  <dcterms:created xsi:type="dcterms:W3CDTF">2003-11-05T12:49:21Z</dcterms:created>
  <dcterms:modified xsi:type="dcterms:W3CDTF">2023-06-07T12:03:46Z</dcterms:modified>
</cp:coreProperties>
</file>