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55" activeTab="6"/>
  </bookViews>
  <sheets>
    <sheet name="муниц" sheetId="1" r:id="rId1"/>
    <sheet name="Лен " sheetId="2" r:id="rId2"/>
    <sheet name="Высокор" sheetId="3" r:id="rId3"/>
    <sheet name="Гост" sheetId="6" r:id="rId4"/>
    <sheet name="Новотр" sheetId="8" r:id="rId5"/>
    <sheet name="Черн" sheetId="7" r:id="rId6"/>
    <sheet name="консолид" sheetId="9" r:id="rId7"/>
  </sheets>
  <definedNames>
    <definedName name="_xlnm.Print_Area" localSheetId="6">консолид!$A$1:$S$52</definedName>
    <definedName name="_xlnm.Print_Area" localSheetId="0">муниц!$A$1:$S$52</definedName>
    <definedName name="_xlnm.Print_Area" localSheetId="5">Черн!$A$1:$R$39</definedName>
  </definedNames>
  <calcPr calcId="125725"/>
</workbook>
</file>

<file path=xl/calcChain.xml><?xml version="1.0" encoding="utf-8"?>
<calcChain xmlns="http://schemas.openxmlformats.org/spreadsheetml/2006/main">
  <c r="R18" i="8"/>
  <c r="R17"/>
  <c r="R15"/>
  <c r="R10"/>
  <c r="Q26" i="1" l="1"/>
  <c r="Q24" s="1"/>
  <c r="Q23" s="1"/>
  <c r="R26"/>
  <c r="M48" i="9"/>
  <c r="D44" i="2"/>
  <c r="D36"/>
  <c r="D35"/>
  <c r="D19"/>
  <c r="D16"/>
  <c r="D28" i="3"/>
  <c r="D37"/>
  <c r="D29" i="1"/>
  <c r="D46"/>
  <c r="D37"/>
  <c r="D26"/>
  <c r="D35"/>
  <c r="D39"/>
  <c r="D18"/>
  <c r="D28" i="7"/>
  <c r="D37"/>
  <c r="D28" i="6"/>
  <c r="D38"/>
  <c r="D48" i="9"/>
  <c r="N32" i="7"/>
  <c r="N25"/>
  <c r="N24"/>
  <c r="N18"/>
  <c r="N17"/>
  <c r="N15"/>
  <c r="N10"/>
  <c r="N36" s="1"/>
  <c r="N32" i="8"/>
  <c r="N25"/>
  <c r="N24" s="1"/>
  <c r="N18"/>
  <c r="N17" s="1"/>
  <c r="N15"/>
  <c r="N10"/>
  <c r="N33" i="6"/>
  <c r="N25"/>
  <c r="N24" s="1"/>
  <c r="N18"/>
  <c r="N17" s="1"/>
  <c r="N15"/>
  <c r="N10"/>
  <c r="N32" i="3"/>
  <c r="N25"/>
  <c r="N24" s="1"/>
  <c r="N18"/>
  <c r="N17" s="1"/>
  <c r="N15"/>
  <c r="N10"/>
  <c r="N33" i="2"/>
  <c r="N30"/>
  <c r="N18"/>
  <c r="N17"/>
  <c r="N15"/>
  <c r="N10"/>
  <c r="N45" i="1"/>
  <c r="N40"/>
  <c r="N36"/>
  <c r="N32"/>
  <c r="N14"/>
  <c r="N9"/>
  <c r="G48" i="9"/>
  <c r="G45" i="1"/>
  <c r="M30" i="9"/>
  <c r="G30"/>
  <c r="D37" i="8"/>
  <c r="Q18" i="7"/>
  <c r="Q17" s="1"/>
  <c r="Q15"/>
  <c r="Q10"/>
  <c r="Q18" i="8"/>
  <c r="Q17" s="1"/>
  <c r="Q15"/>
  <c r="Q10"/>
  <c r="Q18" i="6"/>
  <c r="Q17" s="1"/>
  <c r="Q15"/>
  <c r="Q10"/>
  <c r="Q18" i="3"/>
  <c r="Q17"/>
  <c r="Q15"/>
  <c r="Q10"/>
  <c r="Q24" i="2"/>
  <c r="Q23"/>
  <c r="Q18"/>
  <c r="Q17" s="1"/>
  <c r="Q15"/>
  <c r="Q10"/>
  <c r="Q14" i="1"/>
  <c r="Q9"/>
  <c r="K32" i="7"/>
  <c r="K25"/>
  <c r="K18"/>
  <c r="K17" s="1"/>
  <c r="K15"/>
  <c r="K10"/>
  <c r="K32" i="8"/>
  <c r="K25"/>
  <c r="K18"/>
  <c r="K17" s="1"/>
  <c r="K15"/>
  <c r="K10"/>
  <c r="K33" i="6"/>
  <c r="K25"/>
  <c r="K18"/>
  <c r="K17" s="1"/>
  <c r="K15"/>
  <c r="K10"/>
  <c r="K32" i="3"/>
  <c r="K25"/>
  <c r="K18"/>
  <c r="K17" s="1"/>
  <c r="K15"/>
  <c r="K10"/>
  <c r="K33" i="2"/>
  <c r="K30"/>
  <c r="K18"/>
  <c r="K17" s="1"/>
  <c r="K15"/>
  <c r="K10"/>
  <c r="K40" i="1"/>
  <c r="K36"/>
  <c r="K32"/>
  <c r="K14"/>
  <c r="K9"/>
  <c r="N38" i="2"/>
  <c r="K24" i="7" l="1"/>
  <c r="K24" i="8"/>
  <c r="K24" i="6"/>
  <c r="K24" i="3"/>
  <c r="H20"/>
  <c r="K24" i="2"/>
  <c r="K23" s="1"/>
  <c r="K38"/>
  <c r="K24" i="1"/>
  <c r="K23" s="1"/>
  <c r="N24" i="2"/>
  <c r="N23" s="1"/>
  <c r="H49" i="1"/>
  <c r="H8"/>
  <c r="D16" i="3"/>
  <c r="O15" i="7"/>
  <c r="O48" i="9"/>
  <c r="Q33"/>
  <c r="R33"/>
  <c r="Q25" i="8"/>
  <c r="Q24"/>
  <c r="G33" i="6"/>
  <c r="G25"/>
  <c r="G18"/>
  <c r="G17" s="1"/>
  <c r="G15"/>
  <c r="G10"/>
  <c r="G49" i="9"/>
  <c r="M49"/>
  <c r="H49" s="1"/>
  <c r="M10" i="6"/>
  <c r="D47" i="1"/>
  <c r="L32" i="8"/>
  <c r="N24" i="1"/>
  <c r="Q6" i="6"/>
  <c r="Q5" s="1"/>
  <c r="Q36" s="1"/>
  <c r="Q40" s="1"/>
  <c r="Q6" i="3"/>
  <c r="Q6" i="2"/>
  <c r="Q5" i="1"/>
  <c r="N30" i="9"/>
  <c r="K30"/>
  <c r="H30"/>
  <c r="D49"/>
  <c r="D50"/>
  <c r="G32"/>
  <c r="M32"/>
  <c r="P10" i="3"/>
  <c r="P5"/>
  <c r="P35"/>
  <c r="P39"/>
  <c r="G38" i="2"/>
  <c r="M38"/>
  <c r="O43" i="1"/>
  <c r="H43"/>
  <c r="L43" s="1"/>
  <c r="M46" i="9"/>
  <c r="G46"/>
  <c r="D46"/>
  <c r="C46"/>
  <c r="E46"/>
  <c r="H41" i="2"/>
  <c r="E41"/>
  <c r="E38"/>
  <c r="D38"/>
  <c r="G32" i="7"/>
  <c r="G25"/>
  <c r="G18"/>
  <c r="G17" s="1"/>
  <c r="G15"/>
  <c r="G10"/>
  <c r="K7" i="9"/>
  <c r="K8"/>
  <c r="K9"/>
  <c r="K11"/>
  <c r="K12"/>
  <c r="K13"/>
  <c r="K14"/>
  <c r="L14" s="1"/>
  <c r="K16"/>
  <c r="K17"/>
  <c r="K18"/>
  <c r="K19"/>
  <c r="K20"/>
  <c r="K22"/>
  <c r="K23"/>
  <c r="K25"/>
  <c r="K26"/>
  <c r="L26" s="1"/>
  <c r="K29"/>
  <c r="K31"/>
  <c r="K32"/>
  <c r="K33"/>
  <c r="K34"/>
  <c r="K36"/>
  <c r="K37"/>
  <c r="K38"/>
  <c r="K40"/>
  <c r="K41"/>
  <c r="K42"/>
  <c r="K44"/>
  <c r="G50"/>
  <c r="G51"/>
  <c r="G32" i="8"/>
  <c r="G25"/>
  <c r="G18"/>
  <c r="G17" s="1"/>
  <c r="G15"/>
  <c r="G10"/>
  <c r="G32" i="3"/>
  <c r="G25"/>
  <c r="G24" s="1"/>
  <c r="G18"/>
  <c r="G17" s="1"/>
  <c r="G15"/>
  <c r="G10"/>
  <c r="G33" i="2"/>
  <c r="G30"/>
  <c r="G24"/>
  <c r="G18"/>
  <c r="G17" s="1"/>
  <c r="G15"/>
  <c r="G10"/>
  <c r="G40" i="1"/>
  <c r="G36"/>
  <c r="G32"/>
  <c r="G24"/>
  <c r="G14"/>
  <c r="G9"/>
  <c r="P18" i="7"/>
  <c r="P17"/>
  <c r="P15"/>
  <c r="P10"/>
  <c r="P18" i="8"/>
  <c r="P17"/>
  <c r="P15"/>
  <c r="P10"/>
  <c r="P18" i="6"/>
  <c r="P17"/>
  <c r="P15"/>
  <c r="P10"/>
  <c r="P18" i="3"/>
  <c r="P17"/>
  <c r="P15"/>
  <c r="P24" i="2"/>
  <c r="P23"/>
  <c r="P18"/>
  <c r="P17"/>
  <c r="P15"/>
  <c r="P10"/>
  <c r="P26" i="1"/>
  <c r="P24"/>
  <c r="P23"/>
  <c r="P14"/>
  <c r="P9"/>
  <c r="M50" i="9"/>
  <c r="O50" s="1"/>
  <c r="H30" i="1"/>
  <c r="C45"/>
  <c r="E43"/>
  <c r="C48" i="9"/>
  <c r="C50"/>
  <c r="C49"/>
  <c r="E49" s="1"/>
  <c r="C18" i="3"/>
  <c r="C32" i="9"/>
  <c r="C30"/>
  <c r="M40" i="1"/>
  <c r="O40" s="1"/>
  <c r="F40"/>
  <c r="D40"/>
  <c r="C40"/>
  <c r="K51" i="9"/>
  <c r="L51" s="1"/>
  <c r="K5" i="1"/>
  <c r="Q32"/>
  <c r="C38" i="2"/>
  <c r="C33"/>
  <c r="C30"/>
  <c r="C24"/>
  <c r="C18"/>
  <c r="C17"/>
  <c r="C15"/>
  <c r="C10"/>
  <c r="L15" i="6"/>
  <c r="P33" i="9"/>
  <c r="N32"/>
  <c r="D32"/>
  <c r="O29" i="1"/>
  <c r="H29"/>
  <c r="L29" s="1"/>
  <c r="E29"/>
  <c r="D19" i="9"/>
  <c r="R18" i="7"/>
  <c r="R17" s="1"/>
  <c r="R5" s="1"/>
  <c r="R35" s="1"/>
  <c r="R39" s="1"/>
  <c r="R15"/>
  <c r="R10"/>
  <c r="R18" i="6"/>
  <c r="R17" s="1"/>
  <c r="R5" s="1"/>
  <c r="R36" s="1"/>
  <c r="R40" s="1"/>
  <c r="R15"/>
  <c r="R10"/>
  <c r="R18" i="3"/>
  <c r="R17"/>
  <c r="R15"/>
  <c r="R10"/>
  <c r="R24" i="2"/>
  <c r="R23"/>
  <c r="R18"/>
  <c r="R17" s="1"/>
  <c r="R5" s="1"/>
  <c r="R15"/>
  <c r="R10"/>
  <c r="R24" i="1"/>
  <c r="R23" s="1"/>
  <c r="R14"/>
  <c r="R9"/>
  <c r="E46"/>
  <c r="D51" i="9"/>
  <c r="E51"/>
  <c r="E21" i="1"/>
  <c r="H20" i="7"/>
  <c r="L20" s="1"/>
  <c r="H19"/>
  <c r="L19" s="1"/>
  <c r="E19" i="2"/>
  <c r="H6" i="1"/>
  <c r="M12" i="9"/>
  <c r="M13"/>
  <c r="M14"/>
  <c r="M11"/>
  <c r="M14" i="1"/>
  <c r="E28" i="7"/>
  <c r="O15" i="2"/>
  <c r="M10"/>
  <c r="O10" s="1"/>
  <c r="M36" i="1"/>
  <c r="O36" s="1"/>
  <c r="E7" i="7"/>
  <c r="H27" i="2"/>
  <c r="E38" i="6"/>
  <c r="M32" i="1"/>
  <c r="O32" s="1"/>
  <c r="M51" i="9"/>
  <c r="H46" i="2"/>
  <c r="E46"/>
  <c r="I46"/>
  <c r="M15" i="6"/>
  <c r="M18"/>
  <c r="M17" s="1"/>
  <c r="M25"/>
  <c r="M33"/>
  <c r="O33"/>
  <c r="M10" i="3"/>
  <c r="M15"/>
  <c r="M18"/>
  <c r="M17" s="1"/>
  <c r="M25"/>
  <c r="M32"/>
  <c r="M24" i="2"/>
  <c r="F24"/>
  <c r="J24"/>
  <c r="D24"/>
  <c r="E27"/>
  <c r="R6" i="7"/>
  <c r="Q6"/>
  <c r="Q5" s="1"/>
  <c r="Q35" s="1"/>
  <c r="Q39" s="1"/>
  <c r="P6"/>
  <c r="P5"/>
  <c r="P35"/>
  <c r="P39"/>
  <c r="N6"/>
  <c r="N5" s="1"/>
  <c r="M6"/>
  <c r="K6"/>
  <c r="K5" s="1"/>
  <c r="K35" s="1"/>
  <c r="K36" s="1"/>
  <c r="G6"/>
  <c r="F6"/>
  <c r="D6"/>
  <c r="C6"/>
  <c r="R6" i="8"/>
  <c r="Q6"/>
  <c r="P6"/>
  <c r="P5"/>
  <c r="P35"/>
  <c r="P39"/>
  <c r="N6"/>
  <c r="M6"/>
  <c r="G6"/>
  <c r="F6"/>
  <c r="J6"/>
  <c r="D6"/>
  <c r="C6"/>
  <c r="R6" i="6"/>
  <c r="P6"/>
  <c r="P5"/>
  <c r="P36"/>
  <c r="P40"/>
  <c r="N6"/>
  <c r="M6"/>
  <c r="K6"/>
  <c r="K5" s="1"/>
  <c r="K36" s="1"/>
  <c r="K37" s="1"/>
  <c r="G6"/>
  <c r="D6"/>
  <c r="C6"/>
  <c r="R6" i="3"/>
  <c r="R5" s="1"/>
  <c r="R35" s="1"/>
  <c r="R39" s="1"/>
  <c r="P6"/>
  <c r="N6"/>
  <c r="M6"/>
  <c r="K6"/>
  <c r="K5" s="1"/>
  <c r="K35" s="1"/>
  <c r="K36" s="1"/>
  <c r="G6"/>
  <c r="D6"/>
  <c r="C6"/>
  <c r="E37"/>
  <c r="E47" i="2"/>
  <c r="E48" i="1"/>
  <c r="R19" i="9"/>
  <c r="R26"/>
  <c r="D37"/>
  <c r="O15" i="6"/>
  <c r="D40" i="9"/>
  <c r="D33"/>
  <c r="M18" i="2"/>
  <c r="M17" s="1"/>
  <c r="P31" i="9"/>
  <c r="P25" i="8"/>
  <c r="R25"/>
  <c r="D30" i="9"/>
  <c r="Q7"/>
  <c r="Q8"/>
  <c r="Q9"/>
  <c r="Q11"/>
  <c r="Q12"/>
  <c r="Q13"/>
  <c r="Q14"/>
  <c r="Q16"/>
  <c r="Q17"/>
  <c r="Q18"/>
  <c r="Q19"/>
  <c r="Q20"/>
  <c r="Q22"/>
  <c r="Q23"/>
  <c r="Q26"/>
  <c r="Q31"/>
  <c r="M20"/>
  <c r="M19"/>
  <c r="M18"/>
  <c r="E33" i="1"/>
  <c r="D17" i="9"/>
  <c r="H48" i="1"/>
  <c r="L48" s="1"/>
  <c r="H47" i="2"/>
  <c r="N37" i="9"/>
  <c r="C37"/>
  <c r="R33" i="2"/>
  <c r="Q33"/>
  <c r="P33"/>
  <c r="M33"/>
  <c r="O33" s="1"/>
  <c r="D33"/>
  <c r="O31"/>
  <c r="R30"/>
  <c r="Q30"/>
  <c r="P30"/>
  <c r="M30"/>
  <c r="O30" s="1"/>
  <c r="D30"/>
  <c r="N41" i="9"/>
  <c r="M41"/>
  <c r="G41"/>
  <c r="D41"/>
  <c r="D39" s="1"/>
  <c r="C41"/>
  <c r="O36" i="2"/>
  <c r="H36"/>
  <c r="L36"/>
  <c r="J36"/>
  <c r="E36"/>
  <c r="I36" s="1"/>
  <c r="D36" i="9"/>
  <c r="H46" i="1"/>
  <c r="M37" i="9"/>
  <c r="G37"/>
  <c r="H31" i="2"/>
  <c r="I31" s="1"/>
  <c r="E31"/>
  <c r="D42" i="9"/>
  <c r="M24" i="1"/>
  <c r="O24" s="1"/>
  <c r="O50"/>
  <c r="E37" i="2"/>
  <c r="E35"/>
  <c r="E28" i="3"/>
  <c r="H7" i="2"/>
  <c r="M34" i="9"/>
  <c r="E28" i="8"/>
  <c r="M18"/>
  <c r="M17" s="1"/>
  <c r="G7" i="9"/>
  <c r="G11"/>
  <c r="G12"/>
  <c r="G13"/>
  <c r="G14"/>
  <c r="G16"/>
  <c r="G17"/>
  <c r="G18"/>
  <c r="G20"/>
  <c r="G22"/>
  <c r="G23"/>
  <c r="G25"/>
  <c r="G31"/>
  <c r="G33"/>
  <c r="G34"/>
  <c r="G36"/>
  <c r="F15" i="1"/>
  <c r="F16" i="9"/>
  <c r="F20" i="1"/>
  <c r="F23" i="9"/>
  <c r="F17" i="1"/>
  <c r="F18" i="9"/>
  <c r="F16" i="1"/>
  <c r="F17" i="9"/>
  <c r="F6" i="1"/>
  <c r="F7" i="9"/>
  <c r="C7"/>
  <c r="M7"/>
  <c r="N7"/>
  <c r="P7"/>
  <c r="R7"/>
  <c r="C8"/>
  <c r="D8"/>
  <c r="E8" s="1"/>
  <c r="G8"/>
  <c r="M8"/>
  <c r="N8"/>
  <c r="P8"/>
  <c r="R8"/>
  <c r="C9"/>
  <c r="D9"/>
  <c r="G9"/>
  <c r="M9"/>
  <c r="N9"/>
  <c r="P9"/>
  <c r="R9"/>
  <c r="C11"/>
  <c r="D11"/>
  <c r="E11" s="1"/>
  <c r="F11"/>
  <c r="J11"/>
  <c r="N11"/>
  <c r="P11"/>
  <c r="R11"/>
  <c r="C12"/>
  <c r="D12"/>
  <c r="F12"/>
  <c r="J12" s="1"/>
  <c r="N12"/>
  <c r="P12"/>
  <c r="R12"/>
  <c r="C13"/>
  <c r="D13"/>
  <c r="F13"/>
  <c r="J13" s="1"/>
  <c r="N13"/>
  <c r="P13"/>
  <c r="R13"/>
  <c r="C14"/>
  <c r="D14"/>
  <c r="E14"/>
  <c r="F14"/>
  <c r="J14"/>
  <c r="N14"/>
  <c r="O14" s="1"/>
  <c r="P14"/>
  <c r="R14"/>
  <c r="C16"/>
  <c r="D16"/>
  <c r="M16"/>
  <c r="N16"/>
  <c r="P16"/>
  <c r="R16"/>
  <c r="C17"/>
  <c r="M17"/>
  <c r="N17"/>
  <c r="P17"/>
  <c r="R17"/>
  <c r="C18"/>
  <c r="D18"/>
  <c r="N18"/>
  <c r="O18" s="1"/>
  <c r="P18"/>
  <c r="R18"/>
  <c r="C19"/>
  <c r="G19"/>
  <c r="N19"/>
  <c r="O19" s="1"/>
  <c r="P19"/>
  <c r="C20"/>
  <c r="D20"/>
  <c r="N20"/>
  <c r="P20"/>
  <c r="R20"/>
  <c r="C22"/>
  <c r="D22"/>
  <c r="F22"/>
  <c r="M22"/>
  <c r="N22"/>
  <c r="P22"/>
  <c r="R22"/>
  <c r="C23"/>
  <c r="D23"/>
  <c r="M23"/>
  <c r="N23"/>
  <c r="P23"/>
  <c r="R23"/>
  <c r="C25"/>
  <c r="M25"/>
  <c r="H25" s="1"/>
  <c r="L25" s="1"/>
  <c r="N25"/>
  <c r="C26"/>
  <c r="D26"/>
  <c r="F26"/>
  <c r="J26" s="1"/>
  <c r="G26"/>
  <c r="M26"/>
  <c r="N26"/>
  <c r="O26" s="1"/>
  <c r="P26"/>
  <c r="C29"/>
  <c r="D29"/>
  <c r="F29"/>
  <c r="J29"/>
  <c r="G29"/>
  <c r="L29"/>
  <c r="M29"/>
  <c r="N29"/>
  <c r="O29" s="1"/>
  <c r="E30"/>
  <c r="R30"/>
  <c r="C31"/>
  <c r="D31"/>
  <c r="M31"/>
  <c r="N31"/>
  <c r="R31"/>
  <c r="F32"/>
  <c r="J32" s="1"/>
  <c r="C33"/>
  <c r="F33"/>
  <c r="J33" s="1"/>
  <c r="M33"/>
  <c r="N33"/>
  <c r="C34"/>
  <c r="D34"/>
  <c r="N34"/>
  <c r="O34" s="1"/>
  <c r="P35"/>
  <c r="Q35"/>
  <c r="R35"/>
  <c r="C36"/>
  <c r="M36"/>
  <c r="N36"/>
  <c r="C38"/>
  <c r="C35" s="1"/>
  <c r="F38"/>
  <c r="J38" s="1"/>
  <c r="G38"/>
  <c r="M38"/>
  <c r="N38"/>
  <c r="C40"/>
  <c r="E40" s="1"/>
  <c r="F40"/>
  <c r="J40" s="1"/>
  <c r="G40"/>
  <c r="G39" s="1"/>
  <c r="M40"/>
  <c r="N40"/>
  <c r="O40" s="1"/>
  <c r="F41"/>
  <c r="J41" s="1"/>
  <c r="C42"/>
  <c r="G42"/>
  <c r="M42"/>
  <c r="N42"/>
  <c r="P43"/>
  <c r="Q43"/>
  <c r="R43"/>
  <c r="E44"/>
  <c r="I44" s="1"/>
  <c r="G44"/>
  <c r="J44"/>
  <c r="M44"/>
  <c r="N44"/>
  <c r="C45"/>
  <c r="C43" s="1"/>
  <c r="D45"/>
  <c r="D43" s="1"/>
  <c r="F45"/>
  <c r="F43" s="1"/>
  <c r="J43" s="1"/>
  <c r="G45"/>
  <c r="M45"/>
  <c r="F50"/>
  <c r="J50" s="1"/>
  <c r="J6" i="7"/>
  <c r="H7"/>
  <c r="L7" s="1"/>
  <c r="J7"/>
  <c r="O7"/>
  <c r="E8"/>
  <c r="H8"/>
  <c r="I8"/>
  <c r="J8"/>
  <c r="L8"/>
  <c r="O8"/>
  <c r="E9"/>
  <c r="H9"/>
  <c r="I9"/>
  <c r="L9"/>
  <c r="J9"/>
  <c r="O9"/>
  <c r="C10"/>
  <c r="D10"/>
  <c r="F10"/>
  <c r="J10"/>
  <c r="M10"/>
  <c r="O10" s="1"/>
  <c r="E11"/>
  <c r="H11"/>
  <c r="I11" s="1"/>
  <c r="J11"/>
  <c r="O11"/>
  <c r="E12"/>
  <c r="H12"/>
  <c r="L12" s="1"/>
  <c r="J12"/>
  <c r="O12"/>
  <c r="E13"/>
  <c r="H13"/>
  <c r="L13" s="1"/>
  <c r="J13"/>
  <c r="O13"/>
  <c r="E14"/>
  <c r="E10"/>
  <c r="H14"/>
  <c r="J14"/>
  <c r="L14"/>
  <c r="O14"/>
  <c r="C15"/>
  <c r="D15"/>
  <c r="F15"/>
  <c r="J15"/>
  <c r="M15"/>
  <c r="E16"/>
  <c r="E15"/>
  <c r="H16"/>
  <c r="H15"/>
  <c r="J16"/>
  <c r="O16"/>
  <c r="C18"/>
  <c r="D18"/>
  <c r="D17"/>
  <c r="D5"/>
  <c r="F18"/>
  <c r="J18"/>
  <c r="M18"/>
  <c r="M17" s="1"/>
  <c r="M5" s="1"/>
  <c r="E19"/>
  <c r="J19"/>
  <c r="O19"/>
  <c r="E20"/>
  <c r="E18"/>
  <c r="J20"/>
  <c r="O20"/>
  <c r="E21"/>
  <c r="H21"/>
  <c r="L21" s="1"/>
  <c r="J21"/>
  <c r="O21"/>
  <c r="E22"/>
  <c r="H22"/>
  <c r="L22" s="1"/>
  <c r="J22"/>
  <c r="O22"/>
  <c r="E23"/>
  <c r="H23"/>
  <c r="I23"/>
  <c r="J23"/>
  <c r="L23"/>
  <c r="O23"/>
  <c r="C25"/>
  <c r="D25"/>
  <c r="F25"/>
  <c r="J25"/>
  <c r="M25"/>
  <c r="P25"/>
  <c r="Q25"/>
  <c r="R25"/>
  <c r="E26"/>
  <c r="I26"/>
  <c r="H26"/>
  <c r="L26"/>
  <c r="J26"/>
  <c r="O26"/>
  <c r="E27"/>
  <c r="H27"/>
  <c r="L27" s="1"/>
  <c r="J27"/>
  <c r="O27"/>
  <c r="H28"/>
  <c r="I28" s="1"/>
  <c r="J28"/>
  <c r="O28"/>
  <c r="E29"/>
  <c r="I29"/>
  <c r="H29"/>
  <c r="J29"/>
  <c r="L29"/>
  <c r="O29"/>
  <c r="E30"/>
  <c r="H30"/>
  <c r="I30"/>
  <c r="J30"/>
  <c r="L30"/>
  <c r="O30"/>
  <c r="E31"/>
  <c r="H31"/>
  <c r="L31"/>
  <c r="I31"/>
  <c r="J31"/>
  <c r="O31"/>
  <c r="C32"/>
  <c r="D32"/>
  <c r="F32"/>
  <c r="J32"/>
  <c r="M32"/>
  <c r="O32"/>
  <c r="P32"/>
  <c r="Q32"/>
  <c r="R32"/>
  <c r="E33"/>
  <c r="I33"/>
  <c r="H33"/>
  <c r="L33"/>
  <c r="J33"/>
  <c r="O33"/>
  <c r="E34"/>
  <c r="I34" s="1"/>
  <c r="H34"/>
  <c r="L34" s="1"/>
  <c r="J34"/>
  <c r="O34"/>
  <c r="E37"/>
  <c r="H37"/>
  <c r="L37" s="1"/>
  <c r="J37"/>
  <c r="O37"/>
  <c r="E38"/>
  <c r="H38"/>
  <c r="I38"/>
  <c r="J38"/>
  <c r="O38"/>
  <c r="K6" i="8"/>
  <c r="K5" s="1"/>
  <c r="K35" s="1"/>
  <c r="K36" s="1"/>
  <c r="H7"/>
  <c r="L7" s="1"/>
  <c r="J7"/>
  <c r="O7"/>
  <c r="E8"/>
  <c r="H8"/>
  <c r="I8"/>
  <c r="J8"/>
  <c r="O8"/>
  <c r="E9"/>
  <c r="H9"/>
  <c r="L9"/>
  <c r="J9"/>
  <c r="O9"/>
  <c r="C10"/>
  <c r="D10"/>
  <c r="J10"/>
  <c r="M10"/>
  <c r="E11"/>
  <c r="H11"/>
  <c r="L11" s="1"/>
  <c r="J11"/>
  <c r="O11"/>
  <c r="E12"/>
  <c r="H12"/>
  <c r="L12" s="1"/>
  <c r="J12"/>
  <c r="O12"/>
  <c r="E13"/>
  <c r="H13"/>
  <c r="L13" s="1"/>
  <c r="J13"/>
  <c r="O13"/>
  <c r="E14"/>
  <c r="I14"/>
  <c r="H14"/>
  <c r="J14"/>
  <c r="L14"/>
  <c r="O14"/>
  <c r="C15"/>
  <c r="D15"/>
  <c r="F15"/>
  <c r="J15"/>
  <c r="M15"/>
  <c r="E16"/>
  <c r="E15"/>
  <c r="H16"/>
  <c r="L16"/>
  <c r="J16"/>
  <c r="O16"/>
  <c r="C18"/>
  <c r="C17"/>
  <c r="C5"/>
  <c r="D18"/>
  <c r="D17" s="1"/>
  <c r="D5" s="1"/>
  <c r="F18"/>
  <c r="F17"/>
  <c r="E19"/>
  <c r="H19"/>
  <c r="L19" s="1"/>
  <c r="J19"/>
  <c r="O19"/>
  <c r="E20"/>
  <c r="H20"/>
  <c r="I20" s="1"/>
  <c r="J20"/>
  <c r="O20"/>
  <c r="E21"/>
  <c r="H21"/>
  <c r="I21" s="1"/>
  <c r="J21"/>
  <c r="O21"/>
  <c r="E22"/>
  <c r="H22"/>
  <c r="I22" s="1"/>
  <c r="J22"/>
  <c r="O22"/>
  <c r="E23"/>
  <c r="H23"/>
  <c r="I23"/>
  <c r="J23"/>
  <c r="L23"/>
  <c r="O23"/>
  <c r="C25"/>
  <c r="C24"/>
  <c r="D25"/>
  <c r="F25"/>
  <c r="J25"/>
  <c r="M25"/>
  <c r="E26"/>
  <c r="I26"/>
  <c r="H26"/>
  <c r="L26"/>
  <c r="J26"/>
  <c r="O26"/>
  <c r="E27"/>
  <c r="H27"/>
  <c r="J27"/>
  <c r="O27"/>
  <c r="H28"/>
  <c r="L28" s="1"/>
  <c r="J28"/>
  <c r="O28"/>
  <c r="E29"/>
  <c r="I29"/>
  <c r="H29"/>
  <c r="L29"/>
  <c r="J29"/>
  <c r="O29"/>
  <c r="E30"/>
  <c r="I30"/>
  <c r="H30"/>
  <c r="L30"/>
  <c r="J30"/>
  <c r="O30"/>
  <c r="E31"/>
  <c r="I31"/>
  <c r="H31"/>
  <c r="L31"/>
  <c r="J31"/>
  <c r="O31"/>
  <c r="C32"/>
  <c r="D32"/>
  <c r="D24" s="1"/>
  <c r="F32"/>
  <c r="J32"/>
  <c r="M32"/>
  <c r="P32"/>
  <c r="Q32"/>
  <c r="R32"/>
  <c r="E33"/>
  <c r="I33"/>
  <c r="H33"/>
  <c r="L33"/>
  <c r="J33"/>
  <c r="O33"/>
  <c r="E34"/>
  <c r="I34" s="1"/>
  <c r="H34"/>
  <c r="L34"/>
  <c r="J34"/>
  <c r="O34"/>
  <c r="H37"/>
  <c r="J37"/>
  <c r="O37"/>
  <c r="E38"/>
  <c r="H38"/>
  <c r="L38" s="1"/>
  <c r="J38"/>
  <c r="O38"/>
  <c r="F6" i="6"/>
  <c r="J6"/>
  <c r="H7"/>
  <c r="L7" s="1"/>
  <c r="J7"/>
  <c r="O7"/>
  <c r="E8"/>
  <c r="I8"/>
  <c r="H8"/>
  <c r="L8"/>
  <c r="J8"/>
  <c r="O8"/>
  <c r="E9"/>
  <c r="H9"/>
  <c r="L9"/>
  <c r="J9"/>
  <c r="O9"/>
  <c r="C10"/>
  <c r="D10"/>
  <c r="J10"/>
  <c r="E11"/>
  <c r="H11"/>
  <c r="L11" s="1"/>
  <c r="O11"/>
  <c r="E12"/>
  <c r="H12"/>
  <c r="L12" s="1"/>
  <c r="O12"/>
  <c r="E13"/>
  <c r="H13"/>
  <c r="O13"/>
  <c r="E14"/>
  <c r="H14"/>
  <c r="I14" s="1"/>
  <c r="L14"/>
  <c r="O14"/>
  <c r="C15"/>
  <c r="D15"/>
  <c r="F15"/>
  <c r="J15"/>
  <c r="E16"/>
  <c r="E15"/>
  <c r="H16"/>
  <c r="H15"/>
  <c r="J16"/>
  <c r="L16"/>
  <c r="O16"/>
  <c r="C18"/>
  <c r="C17"/>
  <c r="C5"/>
  <c r="D18"/>
  <c r="D17" s="1"/>
  <c r="D5" s="1"/>
  <c r="F18"/>
  <c r="F17"/>
  <c r="E19"/>
  <c r="H19"/>
  <c r="L19" s="1"/>
  <c r="J19"/>
  <c r="O19"/>
  <c r="E20"/>
  <c r="H20"/>
  <c r="H18" s="1"/>
  <c r="J20"/>
  <c r="O20"/>
  <c r="E21"/>
  <c r="H21"/>
  <c r="L21" s="1"/>
  <c r="J21"/>
  <c r="O21"/>
  <c r="E22"/>
  <c r="H22"/>
  <c r="L22" s="1"/>
  <c r="J22"/>
  <c r="O22"/>
  <c r="E23"/>
  <c r="H23"/>
  <c r="I23"/>
  <c r="J23"/>
  <c r="L23"/>
  <c r="O23"/>
  <c r="C25"/>
  <c r="D25"/>
  <c r="D24" s="1"/>
  <c r="F25"/>
  <c r="P25"/>
  <c r="P24"/>
  <c r="Q25"/>
  <c r="Q24"/>
  <c r="R25"/>
  <c r="R24"/>
  <c r="E26"/>
  <c r="I26"/>
  <c r="H26"/>
  <c r="L26"/>
  <c r="J26"/>
  <c r="O26"/>
  <c r="E27"/>
  <c r="I27"/>
  <c r="H27"/>
  <c r="L27"/>
  <c r="J27"/>
  <c r="O27"/>
  <c r="E28"/>
  <c r="H28"/>
  <c r="J28"/>
  <c r="O28"/>
  <c r="E29"/>
  <c r="H29"/>
  <c r="L29" s="1"/>
  <c r="J29"/>
  <c r="O29"/>
  <c r="E30"/>
  <c r="H30"/>
  <c r="I30"/>
  <c r="L30"/>
  <c r="O30"/>
  <c r="E31"/>
  <c r="H31"/>
  <c r="I31"/>
  <c r="J31"/>
  <c r="L31"/>
  <c r="O31"/>
  <c r="E32"/>
  <c r="H32"/>
  <c r="I32"/>
  <c r="J32"/>
  <c r="L32"/>
  <c r="O32"/>
  <c r="C33"/>
  <c r="D33"/>
  <c r="F33"/>
  <c r="J33"/>
  <c r="P33"/>
  <c r="Q33"/>
  <c r="R33"/>
  <c r="E34"/>
  <c r="H34"/>
  <c r="I34"/>
  <c r="J34"/>
  <c r="L34"/>
  <c r="O34"/>
  <c r="E35"/>
  <c r="H35"/>
  <c r="I35"/>
  <c r="J35"/>
  <c r="O35"/>
  <c r="H38"/>
  <c r="L38" s="1"/>
  <c r="J38"/>
  <c r="O38"/>
  <c r="E39"/>
  <c r="H39"/>
  <c r="I39"/>
  <c r="L39"/>
  <c r="O39"/>
  <c r="F6" i="3"/>
  <c r="J6"/>
  <c r="E7"/>
  <c r="H7"/>
  <c r="L7" s="1"/>
  <c r="J7"/>
  <c r="O7"/>
  <c r="E8"/>
  <c r="H8"/>
  <c r="I8"/>
  <c r="J8"/>
  <c r="L8"/>
  <c r="O8"/>
  <c r="E9"/>
  <c r="H9"/>
  <c r="L9" s="1"/>
  <c r="J9"/>
  <c r="O9"/>
  <c r="C10"/>
  <c r="D10"/>
  <c r="J10"/>
  <c r="E11"/>
  <c r="H11"/>
  <c r="L11" s="1"/>
  <c r="J11"/>
  <c r="O11"/>
  <c r="E12"/>
  <c r="H12"/>
  <c r="L12" s="1"/>
  <c r="J12"/>
  <c r="O12"/>
  <c r="E13"/>
  <c r="H13"/>
  <c r="L13" s="1"/>
  <c r="J13"/>
  <c r="O13"/>
  <c r="E14"/>
  <c r="E10"/>
  <c r="H14"/>
  <c r="J14"/>
  <c r="L14"/>
  <c r="O14"/>
  <c r="C15"/>
  <c r="D15"/>
  <c r="D5"/>
  <c r="F16"/>
  <c r="F15"/>
  <c r="H16"/>
  <c r="H15"/>
  <c r="O16"/>
  <c r="C17"/>
  <c r="D18"/>
  <c r="D17"/>
  <c r="F18"/>
  <c r="F17"/>
  <c r="J17"/>
  <c r="E19"/>
  <c r="H19"/>
  <c r="L19" s="1"/>
  <c r="J19"/>
  <c r="O19"/>
  <c r="E20"/>
  <c r="E18"/>
  <c r="L20"/>
  <c r="J20"/>
  <c r="O20"/>
  <c r="E21"/>
  <c r="H21"/>
  <c r="I21" s="1"/>
  <c r="J21"/>
  <c r="O21"/>
  <c r="E22"/>
  <c r="H22"/>
  <c r="J22"/>
  <c r="O22"/>
  <c r="E23"/>
  <c r="I23"/>
  <c r="H23"/>
  <c r="J23"/>
  <c r="L23"/>
  <c r="O23"/>
  <c r="C25"/>
  <c r="F25"/>
  <c r="J25"/>
  <c r="P25"/>
  <c r="P24"/>
  <c r="Q25"/>
  <c r="Q24"/>
  <c r="R25"/>
  <c r="R24"/>
  <c r="E26"/>
  <c r="H26"/>
  <c r="I26"/>
  <c r="L26"/>
  <c r="J26"/>
  <c r="O26"/>
  <c r="E27"/>
  <c r="H27"/>
  <c r="J27"/>
  <c r="O27"/>
  <c r="H28"/>
  <c r="I28" s="1"/>
  <c r="J28"/>
  <c r="O28"/>
  <c r="E29"/>
  <c r="H29"/>
  <c r="L29"/>
  <c r="I29"/>
  <c r="J29"/>
  <c r="O29"/>
  <c r="H30"/>
  <c r="I30"/>
  <c r="J30"/>
  <c r="L30"/>
  <c r="O30"/>
  <c r="E31"/>
  <c r="H31"/>
  <c r="I31"/>
  <c r="J31"/>
  <c r="L31"/>
  <c r="O31"/>
  <c r="C32"/>
  <c r="D32"/>
  <c r="F32"/>
  <c r="P32"/>
  <c r="Q32"/>
  <c r="R32"/>
  <c r="E33"/>
  <c r="H33"/>
  <c r="J33"/>
  <c r="L33"/>
  <c r="O33"/>
  <c r="E34"/>
  <c r="H34"/>
  <c r="I34"/>
  <c r="J34"/>
  <c r="O34"/>
  <c r="H37"/>
  <c r="L37" s="1"/>
  <c r="J37"/>
  <c r="E38"/>
  <c r="H38"/>
  <c r="I38"/>
  <c r="J38"/>
  <c r="O38"/>
  <c r="C6" i="2"/>
  <c r="D6"/>
  <c r="F6"/>
  <c r="J6"/>
  <c r="G6"/>
  <c r="K6"/>
  <c r="M6"/>
  <c r="N6"/>
  <c r="P6"/>
  <c r="P5"/>
  <c r="P42"/>
  <c r="P48"/>
  <c r="R6"/>
  <c r="E7"/>
  <c r="I7" s="1"/>
  <c r="J7"/>
  <c r="O7"/>
  <c r="E8"/>
  <c r="H8"/>
  <c r="L8" s="1"/>
  <c r="J8"/>
  <c r="O8"/>
  <c r="E9"/>
  <c r="H9"/>
  <c r="I9" s="1"/>
  <c r="J9"/>
  <c r="O9"/>
  <c r="D10"/>
  <c r="F10"/>
  <c r="J10"/>
  <c r="E11"/>
  <c r="H11"/>
  <c r="L11" s="1"/>
  <c r="J11"/>
  <c r="O11"/>
  <c r="E12"/>
  <c r="H12"/>
  <c r="L12" s="1"/>
  <c r="J12"/>
  <c r="O12"/>
  <c r="E13"/>
  <c r="H13"/>
  <c r="L13" s="1"/>
  <c r="J13"/>
  <c r="O13"/>
  <c r="E14"/>
  <c r="H14"/>
  <c r="I14" s="1"/>
  <c r="J14"/>
  <c r="L14"/>
  <c r="O14"/>
  <c r="D15"/>
  <c r="F15"/>
  <c r="J15"/>
  <c r="M15"/>
  <c r="E16"/>
  <c r="E15" s="1"/>
  <c r="H16"/>
  <c r="H15" s="1"/>
  <c r="J16"/>
  <c r="O16"/>
  <c r="F18"/>
  <c r="F17"/>
  <c r="H19"/>
  <c r="I19" s="1"/>
  <c r="J19"/>
  <c r="O19"/>
  <c r="H20"/>
  <c r="L20" s="1"/>
  <c r="J20"/>
  <c r="O20"/>
  <c r="E21"/>
  <c r="H21"/>
  <c r="L21" s="1"/>
  <c r="J21"/>
  <c r="O21"/>
  <c r="E22"/>
  <c r="H22"/>
  <c r="I22"/>
  <c r="J22"/>
  <c r="L22"/>
  <c r="O22"/>
  <c r="E25"/>
  <c r="H25"/>
  <c r="L25" s="1"/>
  <c r="J25"/>
  <c r="O25"/>
  <c r="E26"/>
  <c r="H26"/>
  <c r="O26"/>
  <c r="E28"/>
  <c r="H28"/>
  <c r="L28" s="1"/>
  <c r="J28"/>
  <c r="O28"/>
  <c r="E29"/>
  <c r="I29"/>
  <c r="H29"/>
  <c r="L29"/>
  <c r="J29"/>
  <c r="O29"/>
  <c r="E32"/>
  <c r="I32"/>
  <c r="H32"/>
  <c r="J32"/>
  <c r="O32"/>
  <c r="E34"/>
  <c r="H34"/>
  <c r="L34"/>
  <c r="J34"/>
  <c r="O34"/>
  <c r="H35"/>
  <c r="I35" s="1"/>
  <c r="J35"/>
  <c r="O35"/>
  <c r="H37"/>
  <c r="I37"/>
  <c r="J37"/>
  <c r="O37"/>
  <c r="F38"/>
  <c r="J38"/>
  <c r="P38"/>
  <c r="Q38"/>
  <c r="R38"/>
  <c r="E39"/>
  <c r="I39"/>
  <c r="H39"/>
  <c r="H38" s="1"/>
  <c r="I38" s="1"/>
  <c r="J39"/>
  <c r="L39"/>
  <c r="O39"/>
  <c r="E40"/>
  <c r="I40"/>
  <c r="H40"/>
  <c r="J40"/>
  <c r="L40"/>
  <c r="E44"/>
  <c r="H44"/>
  <c r="L44" s="1"/>
  <c r="J44"/>
  <c r="O44"/>
  <c r="E45"/>
  <c r="H45"/>
  <c r="J45"/>
  <c r="O45"/>
  <c r="C5" i="1"/>
  <c r="D5"/>
  <c r="G5"/>
  <c r="G4" s="1"/>
  <c r="M5"/>
  <c r="N5"/>
  <c r="P5"/>
  <c r="P4"/>
  <c r="P44"/>
  <c r="P51"/>
  <c r="R5"/>
  <c r="R4"/>
  <c r="E6"/>
  <c r="O6"/>
  <c r="E7"/>
  <c r="F7"/>
  <c r="F8" i="9"/>
  <c r="H7" i="1"/>
  <c r="L7" s="1"/>
  <c r="O7"/>
  <c r="E8"/>
  <c r="F8"/>
  <c r="I8"/>
  <c r="O8"/>
  <c r="C9"/>
  <c r="D9"/>
  <c r="F9"/>
  <c r="M9"/>
  <c r="O9" s="1"/>
  <c r="E10"/>
  <c r="H10"/>
  <c r="L10" s="1"/>
  <c r="J10"/>
  <c r="O10"/>
  <c r="E11"/>
  <c r="H11"/>
  <c r="L11" s="1"/>
  <c r="J11"/>
  <c r="O11"/>
  <c r="E12"/>
  <c r="H12"/>
  <c r="L12" s="1"/>
  <c r="J12"/>
  <c r="O12"/>
  <c r="E13"/>
  <c r="H13"/>
  <c r="J13"/>
  <c r="L13"/>
  <c r="O13"/>
  <c r="C14"/>
  <c r="E15"/>
  <c r="H15"/>
  <c r="L15" s="1"/>
  <c r="O15"/>
  <c r="H16"/>
  <c r="L16" s="1"/>
  <c r="O16"/>
  <c r="E17"/>
  <c r="H17"/>
  <c r="L17" s="1"/>
  <c r="O17"/>
  <c r="E18"/>
  <c r="F18"/>
  <c r="H18"/>
  <c r="L18" s="1"/>
  <c r="O18"/>
  <c r="E19"/>
  <c r="F19"/>
  <c r="F20" i="9"/>
  <c r="H19" i="1"/>
  <c r="J19" s="1"/>
  <c r="O19"/>
  <c r="E20"/>
  <c r="H20"/>
  <c r="J20" s="1"/>
  <c r="O20"/>
  <c r="F21"/>
  <c r="F25" i="9"/>
  <c r="H21" i="1"/>
  <c r="J21" s="1"/>
  <c r="O21"/>
  <c r="E22"/>
  <c r="I22"/>
  <c r="H22"/>
  <c r="L22"/>
  <c r="J22"/>
  <c r="O22"/>
  <c r="C24"/>
  <c r="E25"/>
  <c r="I25"/>
  <c r="H25"/>
  <c r="L25"/>
  <c r="J25"/>
  <c r="O25"/>
  <c r="F26"/>
  <c r="F30" i="9"/>
  <c r="O26" i="1"/>
  <c r="E27"/>
  <c r="J27"/>
  <c r="O27"/>
  <c r="E28"/>
  <c r="F28"/>
  <c r="F31" i="9"/>
  <c r="H28" i="1"/>
  <c r="O28"/>
  <c r="E30"/>
  <c r="I30" s="1"/>
  <c r="L30"/>
  <c r="J30"/>
  <c r="O30"/>
  <c r="E31"/>
  <c r="F31"/>
  <c r="F34" i="9"/>
  <c r="H31" i="1"/>
  <c r="L31" s="1"/>
  <c r="O31"/>
  <c r="C32"/>
  <c r="P32"/>
  <c r="R32"/>
  <c r="F33"/>
  <c r="F36" i="9"/>
  <c r="H33" i="1"/>
  <c r="I33" s="1"/>
  <c r="O33"/>
  <c r="E34"/>
  <c r="F34"/>
  <c r="F37" i="9"/>
  <c r="H34" i="1"/>
  <c r="L34" s="1"/>
  <c r="O34"/>
  <c r="E35"/>
  <c r="E32" s="1"/>
  <c r="H35"/>
  <c r="L35" s="1"/>
  <c r="J35"/>
  <c r="O35"/>
  <c r="C36"/>
  <c r="D36"/>
  <c r="F36"/>
  <c r="J36"/>
  <c r="P36"/>
  <c r="Q36"/>
  <c r="R36"/>
  <c r="E37"/>
  <c r="H37"/>
  <c r="J37"/>
  <c r="O37"/>
  <c r="E38"/>
  <c r="H38"/>
  <c r="I38" s="1"/>
  <c r="J38"/>
  <c r="O38"/>
  <c r="E39"/>
  <c r="F39"/>
  <c r="F42" i="9"/>
  <c r="H39" i="1"/>
  <c r="J39" s="1"/>
  <c r="O39"/>
  <c r="J40"/>
  <c r="P40"/>
  <c r="Q40"/>
  <c r="R40"/>
  <c r="E41"/>
  <c r="E40" s="1"/>
  <c r="H41"/>
  <c r="L41" s="1"/>
  <c r="J41"/>
  <c r="O41"/>
  <c r="E42"/>
  <c r="I42"/>
  <c r="H42"/>
  <c r="J42"/>
  <c r="L42"/>
  <c r="O42"/>
  <c r="F46"/>
  <c r="H47"/>
  <c r="L47" s="1"/>
  <c r="J47"/>
  <c r="O47"/>
  <c r="H50"/>
  <c r="L50"/>
  <c r="F24" i="7"/>
  <c r="J24"/>
  <c r="F17"/>
  <c r="J17"/>
  <c r="C17"/>
  <c r="L8" i="8"/>
  <c r="E10"/>
  <c r="L32" i="2"/>
  <c r="E7" i="8"/>
  <c r="D7" i="9"/>
  <c r="E7" s="1"/>
  <c r="E7" i="6"/>
  <c r="E6"/>
  <c r="L34" i="3"/>
  <c r="E26" i="1"/>
  <c r="D24"/>
  <c r="E16"/>
  <c r="D32"/>
  <c r="E47"/>
  <c r="D14"/>
  <c r="D4" s="1"/>
  <c r="E37" i="8"/>
  <c r="I37" s="1"/>
  <c r="H27" i="1"/>
  <c r="L27" s="1"/>
  <c r="H26"/>
  <c r="I26" s="1"/>
  <c r="O32" i="8"/>
  <c r="L22" i="3"/>
  <c r="O46" i="1"/>
  <c r="I38" i="8"/>
  <c r="J25" i="6"/>
  <c r="D25" i="3"/>
  <c r="J18"/>
  <c r="F32" i="1"/>
  <c r="E6" i="3"/>
  <c r="H6" i="6"/>
  <c r="L6" s="1"/>
  <c r="O37" i="3"/>
  <c r="N45" i="9"/>
  <c r="O45" s="1"/>
  <c r="O40" i="2"/>
  <c r="O38" s="1"/>
  <c r="D10" i="9"/>
  <c r="L45" i="2"/>
  <c r="E18" i="8"/>
  <c r="E17" s="1"/>
  <c r="E5" s="1"/>
  <c r="C6" i="9"/>
  <c r="E24" i="2"/>
  <c r="F10" i="9"/>
  <c r="J10" s="1"/>
  <c r="F14" i="1"/>
  <c r="E6" i="8"/>
  <c r="E25"/>
  <c r="O6" i="6"/>
  <c r="I22" i="3"/>
  <c r="E30" i="2"/>
  <c r="E33"/>
  <c r="H33" i="6"/>
  <c r="L33" s="1"/>
  <c r="O15" i="3"/>
  <c r="J18" i="6"/>
  <c r="J18" i="8"/>
  <c r="E32"/>
  <c r="E24" s="1"/>
  <c r="I8" i="2"/>
  <c r="I22" i="7"/>
  <c r="P24" i="9"/>
  <c r="P21" s="1"/>
  <c r="E31"/>
  <c r="E50" i="1"/>
  <c r="I50"/>
  <c r="O6" i="8"/>
  <c r="D18" i="2"/>
  <c r="D17" s="1"/>
  <c r="H51" i="9"/>
  <c r="D38"/>
  <c r="E38" s="1"/>
  <c r="M24" i="8"/>
  <c r="D24" i="7"/>
  <c r="D35" s="1"/>
  <c r="I19" i="3"/>
  <c r="H33" i="2"/>
  <c r="L33" s="1"/>
  <c r="E6" i="7"/>
  <c r="F9" i="9"/>
  <c r="C15"/>
  <c r="M24" i="7"/>
  <c r="Q24" i="9"/>
  <c r="Q21" s="1"/>
  <c r="P30"/>
  <c r="P28" s="1"/>
  <c r="P27" s="1"/>
  <c r="F23" i="2"/>
  <c r="J23"/>
  <c r="L35"/>
  <c r="H32" i="8"/>
  <c r="F24" i="9"/>
  <c r="F21" s="1"/>
  <c r="D23" i="2"/>
  <c r="E20"/>
  <c r="E18" s="1"/>
  <c r="E17" s="1"/>
  <c r="O15" i="8"/>
  <c r="E18" i="6"/>
  <c r="E17" s="1"/>
  <c r="I19"/>
  <c r="I16" i="2"/>
  <c r="L37"/>
  <c r="I7" i="1"/>
  <c r="I9" i="6"/>
  <c r="F48" i="9"/>
  <c r="I18" i="1"/>
  <c r="E10" i="6"/>
  <c r="E6" i="2"/>
  <c r="J16" i="3"/>
  <c r="D24"/>
  <c r="F19" i="9"/>
  <c r="F15" s="1"/>
  <c r="R24" i="8"/>
  <c r="P24"/>
  <c r="E36" i="9"/>
  <c r="E36" i="1"/>
  <c r="L38" i="2"/>
  <c r="J18"/>
  <c r="I21" i="7"/>
  <c r="F24" i="1"/>
  <c r="E5"/>
  <c r="E10" i="2"/>
  <c r="E14" i="1"/>
  <c r="E16" i="9"/>
  <c r="I7" i="8"/>
  <c r="C24" i="9"/>
  <c r="C21" s="1"/>
  <c r="E29"/>
  <c r="I29" s="1"/>
  <c r="R24" i="7"/>
  <c r="P24"/>
  <c r="L16"/>
  <c r="E34" i="9"/>
  <c r="P15"/>
  <c r="F5" i="2"/>
  <c r="J5"/>
  <c r="J17"/>
  <c r="F5" i="7"/>
  <c r="J7" i="1"/>
  <c r="I45" i="2"/>
  <c r="I34"/>
  <c r="I28"/>
  <c r="L21" i="3"/>
  <c r="E32"/>
  <c r="I13"/>
  <c r="C24" i="6"/>
  <c r="I29"/>
  <c r="I27" i="8"/>
  <c r="I11"/>
  <c r="J15" i="3"/>
  <c r="F5"/>
  <c r="J5"/>
  <c r="I15" i="6"/>
  <c r="I33" i="3"/>
  <c r="I9"/>
  <c r="E33" i="6"/>
  <c r="I33"/>
  <c r="E25"/>
  <c r="E24" s="1"/>
  <c r="F24"/>
  <c r="J24"/>
  <c r="I16"/>
  <c r="Q24" i="7"/>
  <c r="C24"/>
  <c r="E26" i="9"/>
  <c r="I26" s="1"/>
  <c r="E18"/>
  <c r="M24" i="6"/>
  <c r="C24" i="3"/>
  <c r="J17" i="6"/>
  <c r="F5"/>
  <c r="J17" i="8"/>
  <c r="F5"/>
  <c r="F24"/>
  <c r="J24"/>
  <c r="L16" i="2"/>
  <c r="J32" i="3"/>
  <c r="E32" i="7"/>
  <c r="E25"/>
  <c r="F23" i="1"/>
  <c r="F42" i="2"/>
  <c r="F43"/>
  <c r="J43"/>
  <c r="F35" i="7"/>
  <c r="J5"/>
  <c r="J5" i="8"/>
  <c r="F35"/>
  <c r="J5" i="6"/>
  <c r="F36"/>
  <c r="F48" i="2"/>
  <c r="J48"/>
  <c r="J42"/>
  <c r="F36" i="7"/>
  <c r="J36"/>
  <c r="F39"/>
  <c r="J35"/>
  <c r="F37" i="6"/>
  <c r="J37"/>
  <c r="F40"/>
  <c r="J40"/>
  <c r="J36"/>
  <c r="F39" i="8"/>
  <c r="F36"/>
  <c r="J36"/>
  <c r="J35"/>
  <c r="L11" i="7"/>
  <c r="L38" i="3"/>
  <c r="L22" i="8"/>
  <c r="L15" i="7"/>
  <c r="I13" i="2"/>
  <c r="H36" i="9"/>
  <c r="I36" s="1"/>
  <c r="L28" i="1"/>
  <c r="J28"/>
  <c r="I11"/>
  <c r="I27"/>
  <c r="I20"/>
  <c r="L19"/>
  <c r="I17"/>
  <c r="L6"/>
  <c r="I6"/>
  <c r="I13" i="7"/>
  <c r="I7"/>
  <c r="I19"/>
  <c r="L37" i="8"/>
  <c r="I28"/>
  <c r="O18"/>
  <c r="O10"/>
  <c r="I9"/>
  <c r="L27"/>
  <c r="L21"/>
  <c r="L20"/>
  <c r="I13"/>
  <c r="I12"/>
  <c r="O10" i="6"/>
  <c r="I38"/>
  <c r="L13"/>
  <c r="I11"/>
  <c r="I20"/>
  <c r="I12"/>
  <c r="H10"/>
  <c r="L10" s="1"/>
  <c r="O10" i="3"/>
  <c r="I27"/>
  <c r="O18"/>
  <c r="I20"/>
  <c r="H10"/>
  <c r="L10" s="1"/>
  <c r="I11"/>
  <c r="M23" i="2"/>
  <c r="H32" i="9"/>
  <c r="L32" s="1"/>
  <c r="O18" i="2"/>
  <c r="L7"/>
  <c r="I25"/>
  <c r="H10"/>
  <c r="L10" s="1"/>
  <c r="L9"/>
  <c r="N4" i="1"/>
  <c r="H42" i="9"/>
  <c r="L42" s="1"/>
  <c r="H18"/>
  <c r="J18" s="1"/>
  <c r="I18"/>
  <c r="I12" i="1"/>
  <c r="J31"/>
  <c r="H18" i="3"/>
  <c r="I18" s="1"/>
  <c r="L16"/>
  <c r="H50" i="9"/>
  <c r="L50" s="1"/>
  <c r="H44"/>
  <c r="J22"/>
  <c r="D25"/>
  <c r="E25" s="1"/>
  <c r="L38" i="7"/>
  <c r="L27" i="3"/>
  <c r="L28"/>
  <c r="I11" i="2"/>
  <c r="J8" i="1"/>
  <c r="E50" i="9"/>
  <c r="I50"/>
  <c r="J18" i="1"/>
  <c r="H10" i="8"/>
  <c r="I10" s="1"/>
  <c r="R24" i="9"/>
  <c r="R21" s="1"/>
  <c r="I16" i="8"/>
  <c r="H15"/>
  <c r="H32" i="3"/>
  <c r="L32" s="1"/>
  <c r="I32"/>
  <c r="K4" i="1"/>
  <c r="K44" s="1"/>
  <c r="J34"/>
  <c r="L15" i="8"/>
  <c r="E16" i="3"/>
  <c r="E15"/>
  <c r="R5" i="8"/>
  <c r="R35" s="1"/>
  <c r="R39" s="1"/>
  <c r="H17" i="9"/>
  <c r="O6" i="3"/>
  <c r="L20" i="6"/>
  <c r="R10" i="9"/>
  <c r="J17" i="1"/>
  <c r="I12" i="7"/>
  <c r="J46" i="1"/>
  <c r="I32" i="8"/>
  <c r="C23" i="1"/>
  <c r="E32" i="9"/>
  <c r="E23"/>
  <c r="C10"/>
  <c r="E12"/>
  <c r="E22"/>
  <c r="E9"/>
  <c r="L15" i="2"/>
  <c r="I13" i="1"/>
  <c r="M10" i="9"/>
  <c r="P10"/>
  <c r="O25" i="8"/>
  <c r="L15" i="3"/>
  <c r="I28" i="1"/>
  <c r="C5" i="3"/>
  <c r="C35"/>
  <c r="I14"/>
  <c r="I15" i="1"/>
  <c r="I47"/>
  <c r="I10"/>
  <c r="F5"/>
  <c r="I48"/>
  <c r="J6"/>
  <c r="O36" i="9"/>
  <c r="H29"/>
  <c r="H26"/>
  <c r="R15"/>
  <c r="O17"/>
  <c r="C4" i="1"/>
  <c r="E9"/>
  <c r="C44"/>
  <c r="E17" i="7"/>
  <c r="I13" i="6"/>
  <c r="I37" i="3"/>
  <c r="I34" i="1"/>
  <c r="F4"/>
  <c r="C51"/>
  <c r="L46"/>
  <c r="F44"/>
  <c r="F51"/>
  <c r="F45"/>
  <c r="C36" i="6"/>
  <c r="C37"/>
  <c r="C40"/>
  <c r="I6"/>
  <c r="E17" i="3"/>
  <c r="C39"/>
  <c r="C36"/>
  <c r="F24"/>
  <c r="C28" i="9"/>
  <c r="E25" i="3"/>
  <c r="O25"/>
  <c r="C23" i="2"/>
  <c r="C5"/>
  <c r="C42"/>
  <c r="C43"/>
  <c r="E24" i="3"/>
  <c r="F35"/>
  <c r="J24"/>
  <c r="C48" i="2"/>
  <c r="F39" i="3"/>
  <c r="J39"/>
  <c r="J35"/>
  <c r="F36"/>
  <c r="J36"/>
  <c r="C5" i="7"/>
  <c r="C35"/>
  <c r="C36"/>
  <c r="E5"/>
  <c r="I14"/>
  <c r="C39"/>
  <c r="C35" i="8"/>
  <c r="I15"/>
  <c r="C39"/>
  <c r="C36"/>
  <c r="P6" i="9"/>
  <c r="P5" s="1"/>
  <c r="H18" i="2"/>
  <c r="L18" s="1"/>
  <c r="L19"/>
  <c r="G43" i="9"/>
  <c r="H19"/>
  <c r="L19" s="1"/>
  <c r="I15" i="7"/>
  <c r="G15" i="9"/>
  <c r="H18" i="7"/>
  <c r="H17" s="1"/>
  <c r="H10"/>
  <c r="I10" s="1"/>
  <c r="L28"/>
  <c r="I20"/>
  <c r="I16"/>
  <c r="H25"/>
  <c r="I25" s="1"/>
  <c r="I27"/>
  <c r="G6" i="9"/>
  <c r="I44" i="2"/>
  <c r="I12"/>
  <c r="H40" i="9"/>
  <c r="L40" s="1"/>
  <c r="I21" i="2"/>
  <c r="H32" i="7"/>
  <c r="L32" s="1"/>
  <c r="K45" i="9"/>
  <c r="L35" i="6"/>
  <c r="E33" i="9"/>
  <c r="E28" s="1"/>
  <c r="H46"/>
  <c r="I46" s="1"/>
  <c r="H40" i="1"/>
  <c r="L40" s="1"/>
  <c r="J26"/>
  <c r="I22" i="6"/>
  <c r="I41" i="2"/>
  <c r="I43" i="1"/>
  <c r="H14" i="9"/>
  <c r="I14" s="1"/>
  <c r="Q15"/>
  <c r="I29" i="1"/>
  <c r="E23" i="2"/>
  <c r="I21" i="6"/>
  <c r="H25"/>
  <c r="I25" s="1"/>
  <c r="H25" i="3"/>
  <c r="I25" s="1"/>
  <c r="H31" i="9"/>
  <c r="H23"/>
  <c r="L23" s="1"/>
  <c r="L8" i="1"/>
  <c r="H8" i="9"/>
  <c r="J8" s="1"/>
  <c r="F39"/>
  <c r="J39" s="1"/>
  <c r="C39"/>
  <c r="L26" i="1"/>
  <c r="H5"/>
  <c r="I5" s="1"/>
  <c r="H18" i="8"/>
  <c r="L18" s="1"/>
  <c r="H9" i="1"/>
  <c r="I9" s="1"/>
  <c r="M24" i="3"/>
  <c r="H24" i="2"/>
  <c r="H6"/>
  <c r="L6" s="1"/>
  <c r="R28" i="9"/>
  <c r="R27" s="1"/>
  <c r="H6" i="8"/>
  <c r="L6" s="1"/>
  <c r="H38" i="9"/>
  <c r="L38" s="1"/>
  <c r="G24"/>
  <c r="G21" s="1"/>
  <c r="H6" i="3"/>
  <c r="I6" s="1"/>
  <c r="H9" i="9"/>
  <c r="L9" s="1"/>
  <c r="H14" i="1"/>
  <c r="I14" s="1"/>
  <c r="J15"/>
  <c r="K10" i="9"/>
  <c r="Q10"/>
  <c r="Q30"/>
  <c r="Q28" s="1"/>
  <c r="Q27" s="1"/>
  <c r="H48"/>
  <c r="L48" s="1"/>
  <c r="L39" i="1"/>
  <c r="I7" i="6"/>
  <c r="O18"/>
  <c r="I16" i="3"/>
  <c r="E41" i="9"/>
  <c r="M35"/>
  <c r="Q6"/>
  <c r="L28" i="6"/>
  <c r="O49" i="9"/>
  <c r="L37" i="1"/>
  <c r="H32"/>
  <c r="I35"/>
  <c r="G23"/>
  <c r="H24"/>
  <c r="J24" s="1"/>
  <c r="G24" i="6"/>
  <c r="O18" i="7"/>
  <c r="L25"/>
  <c r="I6" i="8"/>
  <c r="H24" i="3"/>
  <c r="L18"/>
  <c r="I31" i="1"/>
  <c r="K24" i="9"/>
  <c r="K21" s="1"/>
  <c r="J19"/>
  <c r="E19"/>
  <c r="I19" s="1"/>
  <c r="I33" i="2"/>
  <c r="L25" i="3"/>
  <c r="Q4" i="1"/>
  <c r="I32" i="9"/>
  <c r="J23"/>
  <c r="J24"/>
  <c r="J45"/>
  <c r="H37"/>
  <c r="L37" s="1"/>
  <c r="O42"/>
  <c r="O33"/>
  <c r="O14" i="1"/>
  <c r="K35" i="9"/>
  <c r="K6"/>
  <c r="L31"/>
  <c r="O25" i="7"/>
  <c r="N24" i="9"/>
  <c r="O25" i="6"/>
  <c r="D35" i="3"/>
  <c r="D39" s="1"/>
  <c r="I15"/>
  <c r="E5"/>
  <c r="E35" s="1"/>
  <c r="I37" i="7"/>
  <c r="L26" i="2"/>
  <c r="H34" i="9"/>
  <c r="J34" s="1"/>
  <c r="J9" i="1"/>
  <c r="R42" i="2" l="1"/>
  <c r="R48" s="1"/>
  <c r="R6" i="9"/>
  <c r="R5" s="1"/>
  <c r="R47" s="1"/>
  <c r="R52" s="1"/>
  <c r="R44" i="1"/>
  <c r="R51" s="1"/>
  <c r="L31" i="2"/>
  <c r="I19" i="1"/>
  <c r="H23" i="2"/>
  <c r="I23" s="1"/>
  <c r="I20"/>
  <c r="I10"/>
  <c r="O44" i="9"/>
  <c r="L20" i="1"/>
  <c r="I32" i="7"/>
  <c r="E35" i="8"/>
  <c r="D35"/>
  <c r="D39" s="1"/>
  <c r="E36"/>
  <c r="E39"/>
  <c r="I27" i="2"/>
  <c r="I26"/>
  <c r="I15"/>
  <c r="L21" i="1"/>
  <c r="E39" i="3"/>
  <c r="E36"/>
  <c r="D36"/>
  <c r="I21" i="1"/>
  <c r="D23"/>
  <c r="E24"/>
  <c r="I32"/>
  <c r="E23"/>
  <c r="E44" s="1"/>
  <c r="E51" s="1"/>
  <c r="E37" i="9"/>
  <c r="E17"/>
  <c r="E4" i="1"/>
  <c r="D44"/>
  <c r="D51" s="1"/>
  <c r="L10" i="7"/>
  <c r="E24"/>
  <c r="E35" s="1"/>
  <c r="O25" i="9"/>
  <c r="H11"/>
  <c r="L11" s="1"/>
  <c r="I28" i="6"/>
  <c r="E5"/>
  <c r="E36"/>
  <c r="E37" s="1"/>
  <c r="D36"/>
  <c r="D40" s="1"/>
  <c r="M28" i="9"/>
  <c r="O32"/>
  <c r="I19" i="8"/>
  <c r="I18" i="2"/>
  <c r="I41" i="1"/>
  <c r="J42" i="9"/>
  <c r="H6" i="7"/>
  <c r="H5" s="1"/>
  <c r="D28" i="9"/>
  <c r="E39"/>
  <c r="D24"/>
  <c r="D5" i="2"/>
  <c r="D42" s="1"/>
  <c r="D48" s="1"/>
  <c r="E5"/>
  <c r="E42" s="1"/>
  <c r="E48" s="1"/>
  <c r="D6" i="9"/>
  <c r="E43" i="2"/>
  <c r="K15" i="9"/>
  <c r="N15"/>
  <c r="O32" i="3"/>
  <c r="O16" i="9"/>
  <c r="I18" i="7"/>
  <c r="L10" i="8"/>
  <c r="G35" i="9"/>
  <c r="I10" i="3"/>
  <c r="I7"/>
  <c r="H30" i="2"/>
  <c r="L30" s="1"/>
  <c r="L8" i="9"/>
  <c r="G23" i="2"/>
  <c r="J36" i="9"/>
  <c r="L33" i="1"/>
  <c r="E6" i="9"/>
  <c r="F35"/>
  <c r="F6"/>
  <c r="J6" s="1"/>
  <c r="E20"/>
  <c r="E13"/>
  <c r="E10" s="1"/>
  <c r="I30"/>
  <c r="I8"/>
  <c r="P47"/>
  <c r="P52" s="1"/>
  <c r="H17" i="3"/>
  <c r="I17" s="1"/>
  <c r="O12" i="9"/>
  <c r="I40"/>
  <c r="M39"/>
  <c r="H41"/>
  <c r="H39" s="1"/>
  <c r="H36" i="1"/>
  <c r="H23" s="1"/>
  <c r="M23"/>
  <c r="O23" s="1"/>
  <c r="L38"/>
  <c r="I39"/>
  <c r="J16"/>
  <c r="I16"/>
  <c r="L18" i="7"/>
  <c r="L25" i="6"/>
  <c r="H24"/>
  <c r="I24" s="1"/>
  <c r="J33" i="1"/>
  <c r="L6" i="3"/>
  <c r="I24" i="2"/>
  <c r="H17"/>
  <c r="I17" s="1"/>
  <c r="O9" i="9"/>
  <c r="I46" i="1"/>
  <c r="O30" i="9"/>
  <c r="K39"/>
  <c r="K28"/>
  <c r="L44"/>
  <c r="N35"/>
  <c r="O35" s="1"/>
  <c r="O41" i="2"/>
  <c r="N46" i="9"/>
  <c r="O37"/>
  <c r="O24" i="2"/>
  <c r="D39" i="7"/>
  <c r="D36"/>
  <c r="I37" i="1"/>
  <c r="E42" i="9"/>
  <c r="L36"/>
  <c r="O24" i="7"/>
  <c r="O5"/>
  <c r="O6"/>
  <c r="G24"/>
  <c r="H24"/>
  <c r="I24" s="1"/>
  <c r="G24" i="8"/>
  <c r="H25"/>
  <c r="L25" s="1"/>
  <c r="H17"/>
  <c r="L17" s="1"/>
  <c r="J9" i="9"/>
  <c r="G5" i="8"/>
  <c r="G35" s="1"/>
  <c r="G36" s="1"/>
  <c r="H12" i="9"/>
  <c r="L12" s="1"/>
  <c r="I10" i="6"/>
  <c r="G5"/>
  <c r="G36" s="1"/>
  <c r="G40" s="1"/>
  <c r="G5" i="3"/>
  <c r="G35" s="1"/>
  <c r="G39" s="1"/>
  <c r="Q5"/>
  <c r="Q35" s="1"/>
  <c r="Q39" s="1"/>
  <c r="Q5" i="2"/>
  <c r="Q42" s="1"/>
  <c r="Q48" s="1"/>
  <c r="L24"/>
  <c r="H22" i="9"/>
  <c r="I22" s="1"/>
  <c r="G5" i="2"/>
  <c r="N23" i="1"/>
  <c r="N44" s="1"/>
  <c r="I34" i="9"/>
  <c r="G44" i="1"/>
  <c r="J14"/>
  <c r="H16" i="9"/>
  <c r="J16" s="1"/>
  <c r="H7"/>
  <c r="H6" s="1"/>
  <c r="L6" s="1"/>
  <c r="I17"/>
  <c r="C5"/>
  <c r="F28"/>
  <c r="F27" s="1"/>
  <c r="O41"/>
  <c r="D15"/>
  <c r="H20"/>
  <c r="J20" s="1"/>
  <c r="E48"/>
  <c r="I48" s="1"/>
  <c r="I18" i="8"/>
  <c r="M5"/>
  <c r="M35" s="1"/>
  <c r="O13" i="9"/>
  <c r="H13"/>
  <c r="L13" s="1"/>
  <c r="O11"/>
  <c r="J30"/>
  <c r="I24" i="1"/>
  <c r="L30" i="9"/>
  <c r="E40" i="6"/>
  <c r="J5" i="1"/>
  <c r="O17" i="7"/>
  <c r="O24" i="8"/>
  <c r="O24" i="6"/>
  <c r="M43" i="9"/>
  <c r="O38"/>
  <c r="O24" i="3"/>
  <c r="M5"/>
  <c r="M35" s="1"/>
  <c r="M36" s="1"/>
  <c r="L32" i="1"/>
  <c r="O23" i="9"/>
  <c r="H4" i="1"/>
  <c r="I37" i="9"/>
  <c r="M24"/>
  <c r="M21" s="1"/>
  <c r="O22"/>
  <c r="I6" i="2"/>
  <c r="O6"/>
  <c r="M5"/>
  <c r="M42" s="1"/>
  <c r="I40" i="1"/>
  <c r="J32"/>
  <c r="L24"/>
  <c r="O31" i="9"/>
  <c r="L14" i="1"/>
  <c r="M15" i="9"/>
  <c r="O15" s="1"/>
  <c r="O20"/>
  <c r="M4" i="1"/>
  <c r="O4" s="1"/>
  <c r="O8" i="9"/>
  <c r="O7"/>
  <c r="M6"/>
  <c r="O5" i="1"/>
  <c r="K39" i="7"/>
  <c r="K39" i="3"/>
  <c r="L24"/>
  <c r="K5" i="9"/>
  <c r="K5" i="2"/>
  <c r="K42" s="1"/>
  <c r="K43" s="1"/>
  <c r="K51" i="1"/>
  <c r="N5" i="6"/>
  <c r="N36" s="1"/>
  <c r="N37" s="1"/>
  <c r="O17"/>
  <c r="N6" i="9"/>
  <c r="N28"/>
  <c r="N39"/>
  <c r="N10"/>
  <c r="O10" s="1"/>
  <c r="M35" i="7"/>
  <c r="M39" s="1"/>
  <c r="L17"/>
  <c r="I17"/>
  <c r="G5"/>
  <c r="G35" s="1"/>
  <c r="G36" s="1"/>
  <c r="O17" i="8"/>
  <c r="N5"/>
  <c r="N35" s="1"/>
  <c r="N36" s="1"/>
  <c r="H33" i="9"/>
  <c r="L33" s="1"/>
  <c r="M5" i="6"/>
  <c r="M36" s="1"/>
  <c r="O36" s="1"/>
  <c r="G28" i="9"/>
  <c r="L18" i="6"/>
  <c r="I18"/>
  <c r="H17"/>
  <c r="G10" i="9"/>
  <c r="G5" s="1"/>
  <c r="O17" i="3"/>
  <c r="N5"/>
  <c r="N35" s="1"/>
  <c r="N36" s="1"/>
  <c r="I24"/>
  <c r="I12"/>
  <c r="G36"/>
  <c r="J37" i="9"/>
  <c r="O23" i="2"/>
  <c r="O17"/>
  <c r="N5"/>
  <c r="N42" s="1"/>
  <c r="N43" s="1"/>
  <c r="L23"/>
  <c r="G42"/>
  <c r="G43" s="1"/>
  <c r="I49" i="9"/>
  <c r="H45"/>
  <c r="L45" s="1"/>
  <c r="J25"/>
  <c r="J48"/>
  <c r="I42"/>
  <c r="I31"/>
  <c r="I25"/>
  <c r="I23"/>
  <c r="L17"/>
  <c r="L9" i="1"/>
  <c r="L5"/>
  <c r="I9" i="9"/>
  <c r="Q5" i="8"/>
  <c r="Q35" s="1"/>
  <c r="Q39" s="1"/>
  <c r="Q44" i="1"/>
  <c r="Q51" s="1"/>
  <c r="Q5" i="9"/>
  <c r="Q47" s="1"/>
  <c r="Q52" s="1"/>
  <c r="E15"/>
  <c r="I38"/>
  <c r="E35"/>
  <c r="C27"/>
  <c r="C47" s="1"/>
  <c r="C52" s="1"/>
  <c r="L34"/>
  <c r="N21"/>
  <c r="H35"/>
  <c r="L35" s="1"/>
  <c r="D35"/>
  <c r="J31"/>
  <c r="L18"/>
  <c r="E45"/>
  <c r="J17"/>
  <c r="I30" i="2" l="1"/>
  <c r="D36" i="8"/>
  <c r="D43" i="2"/>
  <c r="D27" i="9"/>
  <c r="I23" i="1"/>
  <c r="D45"/>
  <c r="E45" s="1"/>
  <c r="I4"/>
  <c r="I11" i="9"/>
  <c r="E39" i="7"/>
  <c r="E36"/>
  <c r="D37" i="6"/>
  <c r="O28" i="9"/>
  <c r="L20"/>
  <c r="I6" i="7"/>
  <c r="L6"/>
  <c r="D21" i="9"/>
  <c r="E24"/>
  <c r="E21" s="1"/>
  <c r="E5" s="1"/>
  <c r="D5"/>
  <c r="D47" s="1"/>
  <c r="D52" s="1"/>
  <c r="L39"/>
  <c r="G27"/>
  <c r="H5" i="3"/>
  <c r="L17"/>
  <c r="G48" i="2"/>
  <c r="G51" i="1"/>
  <c r="F5" i="9"/>
  <c r="O5" i="6"/>
  <c r="L41" i="9"/>
  <c r="I39"/>
  <c r="I41"/>
  <c r="O39"/>
  <c r="I36" i="1"/>
  <c r="L36"/>
  <c r="I20" i="9"/>
  <c r="M44" i="1"/>
  <c r="M45" s="1"/>
  <c r="H45" s="1"/>
  <c r="L16" i="9"/>
  <c r="L24" i="7"/>
  <c r="L24" i="6"/>
  <c r="L17" i="2"/>
  <c r="H5"/>
  <c r="L5" s="1"/>
  <c r="I25" i="8"/>
  <c r="H15" i="9"/>
  <c r="L15" s="1"/>
  <c r="O46"/>
  <c r="N43"/>
  <c r="O43" s="1"/>
  <c r="I16"/>
  <c r="O35" i="7"/>
  <c r="N39"/>
  <c r="O39" s="1"/>
  <c r="J7" i="9"/>
  <c r="H35" i="7"/>
  <c r="H36" s="1"/>
  <c r="G39"/>
  <c r="H24" i="8"/>
  <c r="I12" i="9"/>
  <c r="G39" i="8"/>
  <c r="I17"/>
  <c r="H5"/>
  <c r="N40" i="6"/>
  <c r="G37"/>
  <c r="I7" i="9"/>
  <c r="L22"/>
  <c r="L7"/>
  <c r="N51" i="1"/>
  <c r="M39" i="8"/>
  <c r="M36"/>
  <c r="I13" i="9"/>
  <c r="H10"/>
  <c r="L10" s="1"/>
  <c r="L4" i="1"/>
  <c r="M5" i="9"/>
  <c r="O6"/>
  <c r="J23" i="1"/>
  <c r="L23"/>
  <c r="M36" i="7"/>
  <c r="O36" s="1"/>
  <c r="H43" i="9"/>
  <c r="M27"/>
  <c r="M39" i="3"/>
  <c r="H44" i="1"/>
  <c r="J44" s="1"/>
  <c r="J4"/>
  <c r="O21" i="9"/>
  <c r="H24"/>
  <c r="H21" s="1"/>
  <c r="L21" s="1"/>
  <c r="O24"/>
  <c r="M48" i="2"/>
  <c r="M43"/>
  <c r="I6" i="9"/>
  <c r="I33"/>
  <c r="K39" i="8"/>
  <c r="K40" i="6"/>
  <c r="L41" i="2"/>
  <c r="K48"/>
  <c r="K46" i="9"/>
  <c r="H28"/>
  <c r="L28" s="1"/>
  <c r="I5" i="7"/>
  <c r="L5"/>
  <c r="O5" i="8"/>
  <c r="G47" i="9"/>
  <c r="G52" s="1"/>
  <c r="M37" i="6"/>
  <c r="M40"/>
  <c r="O37"/>
  <c r="I17"/>
  <c r="H5"/>
  <c r="L17"/>
  <c r="O5" i="3"/>
  <c r="O5" i="2"/>
  <c r="I35" i="9"/>
  <c r="J5"/>
  <c r="F47"/>
  <c r="I45"/>
  <c r="E43"/>
  <c r="J35"/>
  <c r="N5"/>
  <c r="L5" i="3" l="1"/>
  <c r="I5"/>
  <c r="H35"/>
  <c r="O44" i="1"/>
  <c r="M51"/>
  <c r="O51" s="1"/>
  <c r="I15" i="9"/>
  <c r="J15"/>
  <c r="I5" i="2"/>
  <c r="H42"/>
  <c r="O40" i="6"/>
  <c r="N27" i="9"/>
  <c r="N47" s="1"/>
  <c r="L35" i="7"/>
  <c r="H39"/>
  <c r="L39" s="1"/>
  <c r="I35"/>
  <c r="I24" i="8"/>
  <c r="L24"/>
  <c r="I5"/>
  <c r="L5"/>
  <c r="H35"/>
  <c r="I43" i="9"/>
  <c r="I28"/>
  <c r="I10"/>
  <c r="L45" i="1"/>
  <c r="J45"/>
  <c r="I45"/>
  <c r="O45"/>
  <c r="M47" i="9"/>
  <c r="M52" s="1"/>
  <c r="H51" i="1"/>
  <c r="J51" s="1"/>
  <c r="I24" i="9"/>
  <c r="L24"/>
  <c r="I21"/>
  <c r="L44" i="1"/>
  <c r="I44"/>
  <c r="H5" i="9"/>
  <c r="I5" s="1"/>
  <c r="J21"/>
  <c r="L46"/>
  <c r="K43"/>
  <c r="H27"/>
  <c r="J27" s="1"/>
  <c r="J28"/>
  <c r="I36" i="7"/>
  <c r="L36"/>
  <c r="O36" i="8"/>
  <c r="N39"/>
  <c r="O39" s="1"/>
  <c r="O35"/>
  <c r="H36" i="6"/>
  <c r="L5"/>
  <c r="I5"/>
  <c r="N39" i="3"/>
  <c r="O39" s="1"/>
  <c r="O36"/>
  <c r="O35"/>
  <c r="N48" i="2"/>
  <c r="O48" s="1"/>
  <c r="O43"/>
  <c r="O42"/>
  <c r="J47" i="9"/>
  <c r="F52"/>
  <c r="J52" s="1"/>
  <c r="O5"/>
  <c r="E27"/>
  <c r="H39" i="3" l="1"/>
  <c r="H36"/>
  <c r="I35"/>
  <c r="L35"/>
  <c r="O27" i="9"/>
  <c r="H43" i="2"/>
  <c r="H48"/>
  <c r="I42"/>
  <c r="L42"/>
  <c r="I39" i="7"/>
  <c r="H39" i="8"/>
  <c r="L35"/>
  <c r="I35"/>
  <c r="H36"/>
  <c r="L51" i="1"/>
  <c r="I51"/>
  <c r="I27" i="9"/>
  <c r="L5"/>
  <c r="H47"/>
  <c r="H52" s="1"/>
  <c r="K27"/>
  <c r="K47" s="1"/>
  <c r="K52" s="1"/>
  <c r="L43"/>
  <c r="I36" i="6"/>
  <c r="H37"/>
  <c r="H40"/>
  <c r="L36"/>
  <c r="N52" i="9"/>
  <c r="O52" s="1"/>
  <c r="O47"/>
  <c r="E47"/>
  <c r="L27" l="1"/>
  <c r="L36" i="3"/>
  <c r="I36"/>
  <c r="L39"/>
  <c r="I39"/>
  <c r="L48" i="2"/>
  <c r="I48"/>
  <c r="I43"/>
  <c r="L43"/>
  <c r="I36" i="8"/>
  <c r="L36"/>
  <c r="L39"/>
  <c r="I39"/>
  <c r="L47" i="9"/>
  <c r="L52"/>
  <c r="I37" i="6"/>
  <c r="L37"/>
  <c r="L40"/>
  <c r="I40"/>
  <c r="I47" i="9"/>
  <c r="E52"/>
  <c r="I52" s="1"/>
</calcChain>
</file>

<file path=xl/sharedStrings.xml><?xml version="1.0" encoding="utf-8"?>
<sst xmlns="http://schemas.openxmlformats.org/spreadsheetml/2006/main" count="455" uniqueCount="135">
  <si>
    <t xml:space="preserve">  ед.налог на ВД</t>
  </si>
  <si>
    <t xml:space="preserve">  арендная плата за землю</t>
  </si>
  <si>
    <t>ВСЕГО ДОХОДОВ</t>
  </si>
  <si>
    <t>НАИМЕНОВАНИЕ ДОХОДНЫХ ИСТОЧНИКОВ</t>
  </si>
  <si>
    <t>Код бюджетной классификации</t>
  </si>
  <si>
    <t xml:space="preserve">                   СВЕДЕНИЯ</t>
  </si>
  <si>
    <t xml:space="preserve"> ДОХОДЫ</t>
  </si>
  <si>
    <t>единый сельхозналог</t>
  </si>
  <si>
    <t>невыясненные поступления</t>
  </si>
  <si>
    <t>НЕДОИМКА</t>
  </si>
  <si>
    <t>% исполнения к годовому плану</t>
  </si>
  <si>
    <t>С В Е Д Е Н И Я</t>
  </si>
  <si>
    <t>налог на имущество ф.л.</t>
  </si>
  <si>
    <t>Земельный налог всего</t>
  </si>
  <si>
    <t>пр. неналоговые доходы</t>
  </si>
  <si>
    <t>Земельный налог</t>
  </si>
  <si>
    <t xml:space="preserve">.налог на имущество ф.л. </t>
  </si>
  <si>
    <t>аренд пл за имущ.в опер упр</t>
  </si>
  <si>
    <t>доходы от эксплуат автодорог</t>
  </si>
  <si>
    <t>Налог на имущество организаций</t>
  </si>
  <si>
    <t xml:space="preserve">  доходы от акций</t>
  </si>
  <si>
    <t>Налоговые доходы</t>
  </si>
  <si>
    <t>Неналоговые доходы</t>
  </si>
  <si>
    <t xml:space="preserve">проч.поступл. от исп. имущ-ва </t>
  </si>
  <si>
    <t>Поправки</t>
  </si>
  <si>
    <t>Безвозмездные поступления</t>
  </si>
  <si>
    <t xml:space="preserve">Аренд плата за землю </t>
  </si>
  <si>
    <t>доходы от экспл автодорог</t>
  </si>
  <si>
    <t>Наименование доходных источников</t>
  </si>
  <si>
    <t>% исполнения к кассовому плану</t>
  </si>
  <si>
    <t>% исполнения к прошлому году</t>
  </si>
  <si>
    <t>доходы от реализ имущ-ва</t>
  </si>
  <si>
    <t>доходы от продажи зем участк</t>
  </si>
  <si>
    <t>прочие неналоговые доходы</t>
  </si>
  <si>
    <t>доходы от платных услуг</t>
  </si>
  <si>
    <t>доходы связ с экспл имущества</t>
  </si>
  <si>
    <t>Безвозм поступл от бюдж др уровн</t>
  </si>
  <si>
    <t>2070500005</t>
  </si>
  <si>
    <t>Прочие дох от комп затрат</t>
  </si>
  <si>
    <t>2070500000</t>
  </si>
  <si>
    <t>на дох физ лиц налоговых агентов</t>
  </si>
  <si>
    <t>зарегистр в кач-ве инд  предприн</t>
  </si>
  <si>
    <t>физические лица  по ст 228</t>
  </si>
  <si>
    <t>зарег в кач-ве инд  предприн</t>
  </si>
  <si>
    <t>на дох физ лиц налог агентов</t>
  </si>
  <si>
    <t>Доходы от продажи имущест</t>
  </si>
  <si>
    <t>Прочие безвозмездн поступления</t>
  </si>
  <si>
    <t>Прочие безвозмездн поступ</t>
  </si>
  <si>
    <t>Акцизы по подакцизным товарам</t>
  </si>
  <si>
    <t>Акцизы на дизельное топливо</t>
  </si>
  <si>
    <t>Акцизы на моторные масла</t>
  </si>
  <si>
    <t>Акцизы на автомобильный бензин</t>
  </si>
  <si>
    <t>Акцизы на прямогонный бензин</t>
  </si>
  <si>
    <t>УСН (доходы)</t>
  </si>
  <si>
    <t>УСН (доходы минус расходы)</t>
  </si>
  <si>
    <t>Налоги на совокупный доход</t>
  </si>
  <si>
    <t>Задолж.по отмен.налог.и сборам</t>
  </si>
  <si>
    <t xml:space="preserve"> Налог на имущество организ</t>
  </si>
  <si>
    <t>арендная пл за землю до разгр</t>
  </si>
  <si>
    <t>аренда земли после разгр</t>
  </si>
  <si>
    <t xml:space="preserve">  арендная плата за имущ.</t>
  </si>
  <si>
    <t>Доходы от использ имущества</t>
  </si>
  <si>
    <t>прочие доходы от комп затрат</t>
  </si>
  <si>
    <t>Н Д Ф Л</t>
  </si>
  <si>
    <t>ГОСПОШЛИНА</t>
  </si>
  <si>
    <t>Плата за негат воздна окр.</t>
  </si>
  <si>
    <t>Доходы от оказ платн услуг</t>
  </si>
  <si>
    <t>ДОХОДЫ ОТ ПРОД АЖИ</t>
  </si>
  <si>
    <t>.ШТРАФЫ, САНКЦИИ</t>
  </si>
  <si>
    <t>ПРОЧ.НЕНАЛОГ.ДОХОДЫ</t>
  </si>
  <si>
    <t>Налог на СОВОКУП.ДОХОД</t>
  </si>
  <si>
    <t>Налоги на ИМУЩЕСТВО</t>
  </si>
  <si>
    <t xml:space="preserve"> Госпошлина</t>
  </si>
  <si>
    <t>Задолженность по зем налогу</t>
  </si>
  <si>
    <t>ДОХОДЫ ОТ ИСП.ИМУЩ.</t>
  </si>
  <si>
    <t xml:space="preserve"> Доходы от продажи имущества</t>
  </si>
  <si>
    <t xml:space="preserve"> Доходы от продажи зем уч</t>
  </si>
  <si>
    <t xml:space="preserve"> Штрафы,санкции</t>
  </si>
  <si>
    <t>Доходы от продажи зем уч</t>
  </si>
  <si>
    <t xml:space="preserve"> Штрафы, санкции</t>
  </si>
  <si>
    <t>Налоги на имущество</t>
  </si>
  <si>
    <t>Плата за негат.возд.на окр.среду</t>
  </si>
  <si>
    <t>Налоги на совокуп доход</t>
  </si>
  <si>
    <t>Госпошлина</t>
  </si>
  <si>
    <t>Зад.по отмен.налог.и сборам</t>
  </si>
  <si>
    <t>Доходы от использ-я  имущ-ва</t>
  </si>
  <si>
    <t>Доходы от продажи</t>
  </si>
  <si>
    <t>Штрафы, санкции</t>
  </si>
  <si>
    <t>Прочие неналог доходы</t>
  </si>
  <si>
    <t xml:space="preserve"> ИТОГО СОБСТВ ДОХОДЫ</t>
  </si>
  <si>
    <t>Акцизы на автобензин</t>
  </si>
  <si>
    <t>Собств доходы без акцизов и родит платы</t>
  </si>
  <si>
    <t>Собств доходы без акцизов</t>
  </si>
  <si>
    <t>Возврат остатков прошл лет</t>
  </si>
  <si>
    <t>2190500005</t>
  </si>
  <si>
    <t>2070500013</t>
  </si>
  <si>
    <t>доходы от выдачи патентов</t>
  </si>
  <si>
    <t>Аренд плата за землю  неразгранич</t>
  </si>
  <si>
    <t>Аренд плата за землю  гор пос</t>
  </si>
  <si>
    <t>Кассовый план на 9 месяцев  2015 года</t>
  </si>
  <si>
    <t>в т.ч. земельный налог организ.</t>
  </si>
  <si>
    <t>в т.ч. земельный налог  физ лиц</t>
  </si>
  <si>
    <t>2040500005</t>
  </si>
  <si>
    <t>Доходы связ с экспл имущества</t>
  </si>
  <si>
    <t xml:space="preserve"> Доходы от продажи зем уч неразгр</t>
  </si>
  <si>
    <t xml:space="preserve"> Доходы от продажи зем уч разгр</t>
  </si>
  <si>
    <t>Аренд плата за землю  разгранич</t>
  </si>
  <si>
    <t>2190500013</t>
  </si>
  <si>
    <t>Доходы от возврата остатков пр лет</t>
  </si>
  <si>
    <t>2196001005</t>
  </si>
  <si>
    <t>Доходы от сдачи в аренду им-ва в казне</t>
  </si>
  <si>
    <t>2186001013</t>
  </si>
  <si>
    <t>доходы от сдачи в аренду им-ва в казне</t>
  </si>
  <si>
    <t>2021 год</t>
  </si>
  <si>
    <t>Безвоз. поступл. от негосуд. организ-й</t>
  </si>
  <si>
    <t>Первоначальный план на 2022 год</t>
  </si>
  <si>
    <t>Уточненный план на 2022 год</t>
  </si>
  <si>
    <t>2022 год</t>
  </si>
  <si>
    <t>на 01.01.2022 года</t>
  </si>
  <si>
    <t>инициативные платежи</t>
  </si>
  <si>
    <t>2080500005</t>
  </si>
  <si>
    <t>Перечисления для осуществления возврата</t>
  </si>
  <si>
    <t>Фактическое исполнение за январь-ноябрь</t>
  </si>
  <si>
    <t>на 01.12.2022 года</t>
  </si>
  <si>
    <t>Сведения об исполнении бюджета муниципального района по состоянию на  01 января   2023 года</t>
  </si>
  <si>
    <t>Фактическое исполнение за январь-декабрь</t>
  </si>
  <si>
    <t>Поступило за  декабрь  2022 года</t>
  </si>
  <si>
    <t>Поступило за декабрь  2021 года</t>
  </si>
  <si>
    <t>на 01.01.2023 года</t>
  </si>
  <si>
    <t xml:space="preserve">об исполнении бюджета Ленинского городского поселения на 01 января  2023 г. </t>
  </si>
  <si>
    <t>об исполнении бюджета Высокораменского сельского поселения на 01 января    2023 г.</t>
  </si>
  <si>
    <t>об исполнении бюджета Гостовского сельского поселения на 01 января  2023г.</t>
  </si>
  <si>
    <t>об исполнении бюджета Новотроицкого сельского поселения на 01 января   2023 г.</t>
  </si>
  <si>
    <t>об исполнении бюджета Черновского сельского поселения на 01  января  2023 г.</t>
  </si>
  <si>
    <t xml:space="preserve">об исполнении бюджета муниципального  образования на  01  января 2023 года 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</si>
</sst>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.000"/>
    <numFmt numFmtId="167" formatCode="000000"/>
  </numFmts>
  <fonts count="21">
    <font>
      <sz val="10"/>
      <name val="Arial Cyr"/>
      <charset val="204"/>
    </font>
    <font>
      <sz val="10"/>
      <name val="Arial Cyr"/>
      <charset val="204"/>
    </font>
    <font>
      <sz val="2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165" fontId="3" fillId="2" borderId="0" xfId="0" applyNumberFormat="1" applyFont="1" applyFill="1" applyBorder="1"/>
    <xf numFmtId="165" fontId="3" fillId="0" borderId="0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7" fillId="4" borderId="3" xfId="0" applyFont="1" applyFill="1" applyBorder="1"/>
    <xf numFmtId="0" fontId="8" fillId="2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2" borderId="3" xfId="0" applyFont="1" applyFill="1" applyBorder="1"/>
    <xf numFmtId="0" fontId="7" fillId="3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5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9" fillId="3" borderId="3" xfId="0" applyFont="1" applyFill="1" applyBorder="1"/>
    <xf numFmtId="0" fontId="10" fillId="2" borderId="3" xfId="0" applyFont="1" applyFill="1" applyBorder="1"/>
    <xf numFmtId="0" fontId="10" fillId="0" borderId="3" xfId="0" applyFont="1" applyFill="1" applyBorder="1"/>
    <xf numFmtId="0" fontId="9" fillId="5" borderId="3" xfId="0" applyFont="1" applyFill="1" applyBorder="1"/>
    <xf numFmtId="49" fontId="10" fillId="2" borderId="3" xfId="0" applyNumberFormat="1" applyFont="1" applyFill="1" applyBorder="1" applyAlignment="1">
      <alignment horizontal="right"/>
    </xf>
    <xf numFmtId="0" fontId="10" fillId="5" borderId="3" xfId="0" applyFont="1" applyFill="1" applyBorder="1"/>
    <xf numFmtId="0" fontId="8" fillId="0" borderId="0" xfId="0" applyFont="1"/>
    <xf numFmtId="165" fontId="8" fillId="0" borderId="0" xfId="0" applyNumberFormat="1" applyFont="1"/>
    <xf numFmtId="0" fontId="11" fillId="2" borderId="3" xfId="0" applyFont="1" applyFill="1" applyBorder="1"/>
    <xf numFmtId="0" fontId="7" fillId="3" borderId="3" xfId="0" applyFont="1" applyFill="1" applyBorder="1" applyAlignment="1">
      <alignment wrapText="1"/>
    </xf>
    <xf numFmtId="0" fontId="8" fillId="4" borderId="3" xfId="0" applyFont="1" applyFill="1" applyBorder="1"/>
    <xf numFmtId="0" fontId="8" fillId="2" borderId="4" xfId="0" applyFont="1" applyFill="1" applyBorder="1"/>
    <xf numFmtId="0" fontId="7" fillId="3" borderId="3" xfId="0" applyFont="1" applyFill="1" applyBorder="1"/>
    <xf numFmtId="0" fontId="8" fillId="0" borderId="3" xfId="0" applyFont="1" applyBorder="1"/>
    <xf numFmtId="49" fontId="8" fillId="2" borderId="3" xfId="0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0" fontId="6" fillId="4" borderId="3" xfId="0" applyFont="1" applyFill="1" applyBorder="1"/>
    <xf numFmtId="0" fontId="6" fillId="4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12" fillId="3" borderId="3" xfId="0" applyFont="1" applyFill="1" applyBorder="1" applyAlignment="1">
      <alignment horizontal="center" wrapText="1"/>
    </xf>
    <xf numFmtId="0" fontId="12" fillId="3" borderId="3" xfId="0" applyFont="1" applyFill="1" applyBorder="1"/>
    <xf numFmtId="0" fontId="12" fillId="4" borderId="3" xfId="0" applyFont="1" applyFill="1" applyBorder="1"/>
    <xf numFmtId="0" fontId="6" fillId="0" borderId="3" xfId="0" applyFont="1" applyFill="1" applyBorder="1"/>
    <xf numFmtId="49" fontId="6" fillId="2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8" fillId="4" borderId="4" xfId="0" applyFont="1" applyFill="1" applyBorder="1"/>
    <xf numFmtId="0" fontId="8" fillId="2" borderId="0" xfId="0" applyFont="1" applyFill="1"/>
    <xf numFmtId="0" fontId="8" fillId="4" borderId="0" xfId="0" applyFont="1" applyFill="1" applyBorder="1"/>
    <xf numFmtId="0" fontId="14" fillId="3" borderId="3" xfId="0" applyFont="1" applyFill="1" applyBorder="1" applyAlignment="1">
      <alignment wrapText="1"/>
    </xf>
    <xf numFmtId="164" fontId="14" fillId="3" borderId="3" xfId="1" applyNumberFormat="1" applyFont="1" applyFill="1" applyBorder="1"/>
    <xf numFmtId="0" fontId="15" fillId="4" borderId="3" xfId="0" applyFont="1" applyFill="1" applyBorder="1" applyAlignment="1">
      <alignment wrapText="1"/>
    </xf>
    <xf numFmtId="164" fontId="15" fillId="4" borderId="3" xfId="1" applyNumberFormat="1" applyFont="1" applyFill="1" applyBorder="1"/>
    <xf numFmtId="0" fontId="15" fillId="0" borderId="3" xfId="0" applyFont="1" applyBorder="1" applyAlignment="1">
      <alignment wrapText="1"/>
    </xf>
    <xf numFmtId="0" fontId="15" fillId="0" borderId="3" xfId="0" applyFont="1" applyBorder="1"/>
    <xf numFmtId="164" fontId="15" fillId="2" borderId="3" xfId="1" applyNumberFormat="1" applyFont="1" applyFill="1" applyBorder="1"/>
    <xf numFmtId="0" fontId="15" fillId="4" borderId="3" xfId="0" applyFont="1" applyFill="1" applyBorder="1"/>
    <xf numFmtId="164" fontId="5" fillId="3" borderId="4" xfId="1" applyNumberFormat="1" applyFont="1" applyFill="1" applyBorder="1"/>
    <xf numFmtId="0" fontId="16" fillId="4" borderId="4" xfId="0" applyFont="1" applyFill="1" applyBorder="1"/>
    <xf numFmtId="164" fontId="16" fillId="4" borderId="4" xfId="1" applyNumberFormat="1" applyFont="1" applyFill="1" applyBorder="1"/>
    <xf numFmtId="0" fontId="16" fillId="2" borderId="4" xfId="0" applyFont="1" applyFill="1" applyBorder="1"/>
    <xf numFmtId="165" fontId="16" fillId="2" borderId="3" xfId="0" applyNumberFormat="1" applyFont="1" applyFill="1" applyBorder="1"/>
    <xf numFmtId="165" fontId="16" fillId="2" borderId="4" xfId="0" applyNumberFormat="1" applyFont="1" applyFill="1" applyBorder="1"/>
    <xf numFmtId="164" fontId="16" fillId="2" borderId="4" xfId="1" applyNumberFormat="1" applyFont="1" applyFill="1" applyBorder="1"/>
    <xf numFmtId="0" fontId="16" fillId="2" borderId="3" xfId="0" applyFont="1" applyFill="1" applyBorder="1"/>
    <xf numFmtId="0" fontId="16" fillId="4" borderId="3" xfId="0" applyFont="1" applyFill="1" applyBorder="1"/>
    <xf numFmtId="165" fontId="16" fillId="4" borderId="3" xfId="0" applyNumberFormat="1" applyFont="1" applyFill="1" applyBorder="1"/>
    <xf numFmtId="0" fontId="16" fillId="2" borderId="3" xfId="0" applyNumberFormat="1" applyFont="1" applyFill="1" applyBorder="1"/>
    <xf numFmtId="165" fontId="16" fillId="4" borderId="4" xfId="0" applyNumberFormat="1" applyFont="1" applyFill="1" applyBorder="1"/>
    <xf numFmtId="0" fontId="5" fillId="3" borderId="3" xfId="0" applyFont="1" applyFill="1" applyBorder="1"/>
    <xf numFmtId="164" fontId="16" fillId="2" borderId="3" xfId="1" applyNumberFormat="1" applyFont="1" applyFill="1" applyBorder="1"/>
    <xf numFmtId="166" fontId="5" fillId="4" borderId="3" xfId="0" applyNumberFormat="1" applyFont="1" applyFill="1" applyBorder="1"/>
    <xf numFmtId="165" fontId="5" fillId="4" borderId="3" xfId="0" applyNumberFormat="1" applyFont="1" applyFill="1" applyBorder="1"/>
    <xf numFmtId="164" fontId="5" fillId="4" borderId="4" xfId="1" applyNumberFormat="1" applyFont="1" applyFill="1" applyBorder="1"/>
    <xf numFmtId="166" fontId="16" fillId="2" borderId="4" xfId="0" applyNumberFormat="1" applyFont="1" applyFill="1" applyBorder="1"/>
    <xf numFmtId="2" fontId="16" fillId="2" borderId="3" xfId="0" applyNumberFormat="1" applyFont="1" applyFill="1" applyBorder="1"/>
    <xf numFmtId="166" fontId="16" fillId="2" borderId="3" xfId="0" applyNumberFormat="1" applyFont="1" applyFill="1" applyBorder="1"/>
    <xf numFmtId="2" fontId="5" fillId="3" borderId="4" xfId="0" applyNumberFormat="1" applyFont="1" applyFill="1" applyBorder="1" applyAlignment="1">
      <alignment wrapText="1"/>
    </xf>
    <xf numFmtId="2" fontId="16" fillId="4" borderId="4" xfId="0" applyNumberFormat="1" applyFont="1" applyFill="1" applyBorder="1"/>
    <xf numFmtId="165" fontId="5" fillId="3" borderId="3" xfId="0" applyNumberFormat="1" applyFont="1" applyFill="1" applyBorder="1"/>
    <xf numFmtId="164" fontId="16" fillId="4" borderId="3" xfId="1" applyNumberFormat="1" applyFont="1" applyFill="1" applyBorder="1"/>
    <xf numFmtId="2" fontId="5" fillId="4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164" fontId="5" fillId="3" borderId="3" xfId="1" applyNumberFormat="1" applyFont="1" applyFill="1" applyBorder="1"/>
    <xf numFmtId="164" fontId="5" fillId="4" borderId="3" xfId="1" applyNumberFormat="1" applyFont="1" applyFill="1" applyBorder="1"/>
    <xf numFmtId="0" fontId="5" fillId="4" borderId="3" xfId="0" applyFont="1" applyFill="1" applyBorder="1"/>
    <xf numFmtId="0" fontId="16" fillId="4" borderId="3" xfId="0" applyNumberFormat="1" applyFont="1" applyFill="1" applyBorder="1"/>
    <xf numFmtId="2" fontId="13" fillId="3" borderId="3" xfId="0" applyNumberFormat="1" applyFont="1" applyFill="1" applyBorder="1" applyAlignment="1">
      <alignment horizontal="right"/>
    </xf>
    <xf numFmtId="164" fontId="13" fillId="3" borderId="3" xfId="1" applyNumberFormat="1" applyFont="1" applyFill="1" applyBorder="1"/>
    <xf numFmtId="165" fontId="13" fillId="4" borderId="3" xfId="0" applyNumberFormat="1" applyFont="1" applyFill="1" applyBorder="1"/>
    <xf numFmtId="164" fontId="13" fillId="4" borderId="3" xfId="1" applyNumberFormat="1" applyFont="1" applyFill="1" applyBorder="1"/>
    <xf numFmtId="0" fontId="13" fillId="2" borderId="3" xfId="0" applyFont="1" applyFill="1" applyBorder="1"/>
    <xf numFmtId="2" fontId="13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/>
    <xf numFmtId="164" fontId="13" fillId="2" borderId="3" xfId="1" applyNumberFormat="1" applyFont="1" applyFill="1" applyBorder="1"/>
    <xf numFmtId="165" fontId="13" fillId="2" borderId="3" xfId="0" applyNumberFormat="1" applyFont="1" applyFill="1" applyBorder="1" applyAlignment="1">
      <alignment horizontal="right" vertical="center" wrapText="1"/>
    </xf>
    <xf numFmtId="0" fontId="13" fillId="4" borderId="3" xfId="0" applyFont="1" applyFill="1" applyBorder="1"/>
    <xf numFmtId="2" fontId="13" fillId="4" borderId="3" xfId="0" applyNumberFormat="1" applyFont="1" applyFill="1" applyBorder="1"/>
    <xf numFmtId="165" fontId="13" fillId="4" borderId="3" xfId="0" applyNumberFormat="1" applyFont="1" applyFill="1" applyBorder="1" applyAlignment="1">
      <alignment horizontal="right" vertical="center" wrapText="1"/>
    </xf>
    <xf numFmtId="0" fontId="17" fillId="4" borderId="3" xfId="0" applyFont="1" applyFill="1" applyBorder="1"/>
    <xf numFmtId="166" fontId="13" fillId="3" borderId="3" xfId="0" applyNumberFormat="1" applyFont="1" applyFill="1" applyBorder="1"/>
    <xf numFmtId="0" fontId="13" fillId="3" borderId="3" xfId="0" applyFont="1" applyFill="1" applyBorder="1"/>
    <xf numFmtId="0" fontId="17" fillId="2" borderId="3" xfId="0" applyFont="1" applyFill="1" applyBorder="1"/>
    <xf numFmtId="0" fontId="13" fillId="0" borderId="3" xfId="0" applyFont="1" applyFill="1" applyBorder="1"/>
    <xf numFmtId="165" fontId="13" fillId="0" borderId="3" xfId="0" applyNumberFormat="1" applyFont="1" applyFill="1" applyBorder="1"/>
    <xf numFmtId="0" fontId="17" fillId="0" borderId="3" xfId="0" applyFont="1" applyFill="1" applyBorder="1"/>
    <xf numFmtId="166" fontId="13" fillId="5" borderId="3" xfId="0" applyNumberFormat="1" applyFont="1" applyFill="1" applyBorder="1"/>
    <xf numFmtId="0" fontId="13" fillId="5" borderId="3" xfId="0" applyFont="1" applyFill="1" applyBorder="1"/>
    <xf numFmtId="0" fontId="13" fillId="5" borderId="3" xfId="0" applyFont="1" applyFill="1" applyBorder="1" applyAlignment="1">
      <alignment horizontal="right"/>
    </xf>
    <xf numFmtId="165" fontId="13" fillId="5" borderId="3" xfId="0" applyNumberFormat="1" applyFont="1" applyFill="1" applyBorder="1"/>
    <xf numFmtId="164" fontId="13" fillId="5" borderId="3" xfId="1" applyNumberFormat="1" applyFont="1" applyFill="1" applyBorder="1"/>
    <xf numFmtId="166" fontId="13" fillId="2" borderId="3" xfId="0" applyNumberFormat="1" applyFont="1" applyFill="1" applyBorder="1"/>
    <xf numFmtId="166" fontId="13" fillId="2" borderId="3" xfId="0" applyNumberFormat="1" applyFont="1" applyFill="1" applyBorder="1" applyAlignment="1">
      <alignment horizontal="right" vertical="center" wrapText="1"/>
    </xf>
    <xf numFmtId="165" fontId="13" fillId="3" borderId="3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4" borderId="3" xfId="0" applyNumberFormat="1" applyFont="1" applyFill="1" applyBorder="1"/>
    <xf numFmtId="166" fontId="13" fillId="3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2" fontId="16" fillId="4" borderId="3" xfId="0" applyNumberFormat="1" applyFont="1" applyFill="1" applyBorder="1"/>
    <xf numFmtId="49" fontId="15" fillId="2" borderId="3" xfId="0" applyNumberFormat="1" applyFont="1" applyFill="1" applyBorder="1" applyAlignment="1">
      <alignment horizontal="right"/>
    </xf>
    <xf numFmtId="166" fontId="16" fillId="4" borderId="3" xfId="0" applyNumberFormat="1" applyFont="1" applyFill="1" applyBorder="1"/>
    <xf numFmtId="0" fontId="16" fillId="2" borderId="5" xfId="0" applyFont="1" applyFill="1" applyBorder="1"/>
    <xf numFmtId="166" fontId="15" fillId="0" borderId="3" xfId="0" applyNumberFormat="1" applyFont="1" applyBorder="1"/>
    <xf numFmtId="165" fontId="19" fillId="0" borderId="0" xfId="0" applyNumberFormat="1" applyFont="1"/>
    <xf numFmtId="0" fontId="16" fillId="6" borderId="3" xfId="0" applyFont="1" applyFill="1" applyBorder="1"/>
    <xf numFmtId="0" fontId="16" fillId="6" borderId="4" xfId="0" applyFont="1" applyFill="1" applyBorder="1"/>
    <xf numFmtId="164" fontId="16" fillId="6" borderId="4" xfId="1" applyNumberFormat="1" applyFont="1" applyFill="1" applyBorder="1"/>
    <xf numFmtId="0" fontId="14" fillId="3" borderId="3" xfId="0" applyNumberFormat="1" applyFont="1" applyFill="1" applyBorder="1" applyAlignment="1">
      <alignment wrapText="1"/>
    </xf>
    <xf numFmtId="0" fontId="15" fillId="4" borderId="3" xfId="0" applyNumberFormat="1" applyFont="1" applyFill="1" applyBorder="1" applyAlignment="1">
      <alignment wrapText="1"/>
    </xf>
    <xf numFmtId="0" fontId="15" fillId="0" borderId="3" xfId="0" applyNumberFormat="1" applyFont="1" applyBorder="1"/>
    <xf numFmtId="0" fontId="15" fillId="4" borderId="3" xfId="0" applyNumberFormat="1" applyFont="1" applyFill="1" applyBorder="1"/>
    <xf numFmtId="165" fontId="0" fillId="0" borderId="0" xfId="0" applyNumberFormat="1"/>
    <xf numFmtId="2" fontId="5" fillId="3" borderId="3" xfId="0" applyNumberFormat="1" applyFont="1" applyFill="1" applyBorder="1" applyAlignment="1">
      <alignment wrapText="1"/>
    </xf>
    <xf numFmtId="0" fontId="16" fillId="0" borderId="3" xfId="0" applyFont="1" applyFill="1" applyBorder="1"/>
    <xf numFmtId="0" fontId="16" fillId="0" borderId="4" xfId="0" applyFont="1" applyFill="1" applyBorder="1"/>
    <xf numFmtId="165" fontId="16" fillId="0" borderId="4" xfId="0" applyNumberFormat="1" applyFont="1" applyFill="1" applyBorder="1"/>
    <xf numFmtId="164" fontId="16" fillId="0" borderId="4" xfId="1" applyNumberFormat="1" applyFont="1" applyFill="1" applyBorder="1"/>
    <xf numFmtId="0" fontId="12" fillId="6" borderId="3" xfId="0" applyFont="1" applyFill="1" applyBorder="1"/>
    <xf numFmtId="165" fontId="16" fillId="6" borderId="4" xfId="0" applyNumberFormat="1" applyFont="1" applyFill="1" applyBorder="1"/>
    <xf numFmtId="0" fontId="15" fillId="6" borderId="3" xfId="0" applyFont="1" applyFill="1" applyBorder="1"/>
    <xf numFmtId="0" fontId="16" fillId="0" borderId="6" xfId="0" applyFont="1" applyFill="1" applyBorder="1"/>
    <xf numFmtId="0" fontId="8" fillId="0" borderId="7" xfId="0" applyFont="1" applyFill="1" applyBorder="1"/>
    <xf numFmtId="0" fontId="16" fillId="6" borderId="6" xfId="0" applyFont="1" applyFill="1" applyBorder="1"/>
    <xf numFmtId="166" fontId="5" fillId="3" borderId="3" xfId="0" applyNumberFormat="1" applyFont="1" applyFill="1" applyBorder="1"/>
    <xf numFmtId="166" fontId="13" fillId="4" borderId="3" xfId="0" applyNumberFormat="1" applyFont="1" applyFill="1" applyBorder="1"/>
    <xf numFmtId="164" fontId="5" fillId="0" borderId="8" xfId="1" applyNumberFormat="1" applyFont="1" applyFill="1" applyBorder="1"/>
    <xf numFmtId="164" fontId="16" fillId="0" borderId="8" xfId="1" applyNumberFormat="1" applyFont="1" applyFill="1" applyBorder="1"/>
    <xf numFmtId="2" fontId="13" fillId="0" borderId="3" xfId="0" applyNumberFormat="1" applyFont="1" applyFill="1" applyBorder="1"/>
    <xf numFmtId="0" fontId="15" fillId="0" borderId="5" xfId="0" applyFont="1" applyFill="1" applyBorder="1"/>
    <xf numFmtId="49" fontId="6" fillId="2" borderId="3" xfId="0" applyNumberFormat="1" applyFont="1" applyFill="1" applyBorder="1" applyAlignment="1">
      <alignment horizontal="center"/>
    </xf>
    <xf numFmtId="0" fontId="0" fillId="0" borderId="0" xfId="0" applyBorder="1"/>
    <xf numFmtId="0" fontId="14" fillId="0" borderId="5" xfId="0" applyFont="1" applyFill="1" applyBorder="1" applyAlignment="1">
      <alignment wrapText="1"/>
    </xf>
    <xf numFmtId="165" fontId="5" fillId="0" borderId="5" xfId="0" applyNumberFormat="1" applyFont="1" applyFill="1" applyBorder="1"/>
    <xf numFmtId="165" fontId="5" fillId="3" borderId="3" xfId="0" applyNumberFormat="1" applyFont="1" applyFill="1" applyBorder="1" applyAlignment="1">
      <alignment wrapText="1"/>
    </xf>
    <xf numFmtId="165" fontId="18" fillId="0" borderId="0" xfId="0" applyNumberFormat="1" applyFont="1"/>
    <xf numFmtId="166" fontId="14" fillId="3" borderId="3" xfId="0" applyNumberFormat="1" applyFont="1" applyFill="1" applyBorder="1" applyAlignment="1">
      <alignment wrapText="1"/>
    </xf>
    <xf numFmtId="0" fontId="15" fillId="0" borderId="0" xfId="0" applyFont="1" applyFill="1" applyBorder="1"/>
    <xf numFmtId="2" fontId="16" fillId="2" borderId="4" xfId="0" applyNumberFormat="1" applyFont="1" applyFill="1" applyBorder="1"/>
    <xf numFmtId="0" fontId="16" fillId="0" borderId="0" xfId="0" applyFont="1"/>
    <xf numFmtId="165" fontId="7" fillId="0" borderId="0" xfId="0" applyNumberFormat="1" applyFont="1"/>
    <xf numFmtId="166" fontId="18" fillId="0" borderId="0" xfId="0" applyNumberFormat="1" applyFont="1"/>
    <xf numFmtId="165" fontId="13" fillId="4" borderId="7" xfId="0" applyNumberFormat="1" applyFont="1" applyFill="1" applyBorder="1"/>
    <xf numFmtId="0" fontId="8" fillId="0" borderId="0" xfId="0" applyFont="1" applyBorder="1"/>
    <xf numFmtId="0" fontId="8" fillId="2" borderId="8" xfId="0" applyFont="1" applyFill="1" applyBorder="1"/>
    <xf numFmtId="0" fontId="8" fillId="2" borderId="5" xfId="0" applyFont="1" applyFill="1" applyBorder="1"/>
    <xf numFmtId="0" fontId="8" fillId="0" borderId="5" xfId="0" applyFont="1" applyFill="1" applyBorder="1"/>
    <xf numFmtId="166" fontId="8" fillId="0" borderId="0" xfId="0" applyNumberFormat="1" applyFont="1"/>
    <xf numFmtId="166" fontId="0" fillId="0" borderId="0" xfId="0" applyNumberFormat="1"/>
    <xf numFmtId="165" fontId="16" fillId="0" borderId="8" xfId="0" applyNumberFormat="1" applyFont="1" applyFill="1" applyBorder="1"/>
    <xf numFmtId="167" fontId="6" fillId="2" borderId="3" xfId="0" applyNumberFormat="1" applyFont="1" applyFill="1" applyBorder="1"/>
    <xf numFmtId="0" fontId="6" fillId="2" borderId="3" xfId="0" applyFont="1" applyFill="1" applyBorder="1" applyAlignment="1">
      <alignment horizontal="left"/>
    </xf>
    <xf numFmtId="0" fontId="20" fillId="2" borderId="3" xfId="0" applyFont="1" applyFill="1" applyBorder="1"/>
    <xf numFmtId="167" fontId="11" fillId="2" borderId="3" xfId="0" applyNumberFormat="1" applyFont="1" applyFill="1" applyBorder="1"/>
    <xf numFmtId="166" fontId="13" fillId="5" borderId="3" xfId="0" applyNumberFormat="1" applyFont="1" applyFill="1" applyBorder="1" applyAlignment="1">
      <alignment horizontal="right"/>
    </xf>
    <xf numFmtId="165" fontId="15" fillId="0" borderId="3" xfId="0" applyNumberFormat="1" applyFont="1" applyBorder="1"/>
    <xf numFmtId="2" fontId="13" fillId="2" borderId="3" xfId="0" applyNumberFormat="1" applyFont="1" applyFill="1" applyBorder="1"/>
    <xf numFmtId="166" fontId="16" fillId="0" borderId="4" xfId="0" applyNumberFormat="1" applyFont="1" applyFill="1" applyBorder="1"/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16" fillId="0" borderId="4" xfId="0" applyNumberFormat="1" applyFont="1" applyFill="1" applyBorder="1"/>
    <xf numFmtId="0" fontId="5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zoomScaleNormal="100" zoomScaleSheetLayoutView="5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R17" sqref="R17"/>
    </sheetView>
  </sheetViews>
  <sheetFormatPr defaultRowHeight="12.75"/>
  <cols>
    <col min="1" max="1" width="40.85546875" customWidth="1"/>
    <col min="2" max="2" width="14" customWidth="1"/>
    <col min="3" max="3" width="16" customWidth="1"/>
    <col min="4" max="4" width="14.42578125" customWidth="1"/>
    <col min="5" max="5" width="16.28515625" customWidth="1"/>
    <col min="6" max="6" width="11.85546875" hidden="1" customWidth="1"/>
    <col min="7" max="7" width="12.28515625" customWidth="1"/>
    <col min="8" max="8" width="12.5703125" customWidth="1"/>
    <col min="9" max="9" width="11.7109375" customWidth="1"/>
    <col min="10" max="10" width="10.85546875" hidden="1" customWidth="1"/>
    <col min="11" max="11" width="13.28515625" customWidth="1"/>
    <col min="12" max="12" width="12.28515625" customWidth="1"/>
    <col min="13" max="13" width="12.85546875" customWidth="1"/>
    <col min="14" max="14" width="13" customWidth="1"/>
    <col min="15" max="15" width="14.7109375" customWidth="1"/>
    <col min="16" max="16" width="12.5703125" customWidth="1"/>
    <col min="17" max="17" width="11.85546875" customWidth="1"/>
    <col min="18" max="18" width="10.7109375" customWidth="1"/>
    <col min="19" max="19" width="14.5703125" customWidth="1"/>
  </cols>
  <sheetData>
    <row r="1" spans="1:21" ht="24.75" customHeight="1">
      <c r="A1" s="188" t="s">
        <v>124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21" ht="20.25" customHeight="1">
      <c r="A2" s="189" t="s">
        <v>28</v>
      </c>
      <c r="B2" s="189" t="s">
        <v>4</v>
      </c>
      <c r="C2" s="189" t="s">
        <v>115</v>
      </c>
      <c r="D2" s="189" t="s">
        <v>24</v>
      </c>
      <c r="E2" s="189" t="s">
        <v>116</v>
      </c>
      <c r="F2" s="189" t="s">
        <v>99</v>
      </c>
      <c r="G2" s="189" t="s">
        <v>122</v>
      </c>
      <c r="H2" s="189" t="s">
        <v>117</v>
      </c>
      <c r="I2" s="189"/>
      <c r="J2" s="189"/>
      <c r="K2" s="189" t="s">
        <v>113</v>
      </c>
      <c r="L2" s="189"/>
      <c r="M2" s="189" t="s">
        <v>126</v>
      </c>
      <c r="N2" s="189" t="s">
        <v>127</v>
      </c>
      <c r="O2" s="189" t="s">
        <v>30</v>
      </c>
      <c r="P2" s="189" t="s">
        <v>9</v>
      </c>
      <c r="Q2" s="189"/>
      <c r="R2" s="189"/>
    </row>
    <row r="3" spans="1:21" ht="97.5" customHeight="1">
      <c r="A3" s="189"/>
      <c r="B3" s="189"/>
      <c r="C3" s="189"/>
      <c r="D3" s="189"/>
      <c r="E3" s="189"/>
      <c r="F3" s="189"/>
      <c r="G3" s="189"/>
      <c r="H3" s="185" t="s">
        <v>125</v>
      </c>
      <c r="I3" s="47" t="s">
        <v>10</v>
      </c>
      <c r="J3" s="47" t="s">
        <v>29</v>
      </c>
      <c r="K3" s="185" t="s">
        <v>125</v>
      </c>
      <c r="L3" s="47" t="s">
        <v>30</v>
      </c>
      <c r="M3" s="189"/>
      <c r="N3" s="189"/>
      <c r="O3" s="189"/>
      <c r="P3" s="122" t="s">
        <v>118</v>
      </c>
      <c r="Q3" s="122" t="s">
        <v>123</v>
      </c>
      <c r="R3" s="122" t="s">
        <v>128</v>
      </c>
    </row>
    <row r="4" spans="1:21" ht="18.75">
      <c r="A4" s="35" t="s">
        <v>21</v>
      </c>
      <c r="B4" s="36"/>
      <c r="C4" s="56">
        <f t="shared" ref="C4:H4" si="0">C5+C9+C14+C20+C21+C22</f>
        <v>67520.899999999994</v>
      </c>
      <c r="D4" s="56">
        <f t="shared" si="0"/>
        <v>16769</v>
      </c>
      <c r="E4" s="56">
        <f t="shared" si="0"/>
        <v>84289.9</v>
      </c>
      <c r="F4" s="56">
        <f t="shared" si="0"/>
        <v>28287.7</v>
      </c>
      <c r="G4" s="56">
        <f t="shared" si="0"/>
        <v>77909.8</v>
      </c>
      <c r="H4" s="56">
        <f t="shared" si="0"/>
        <v>86409.3</v>
      </c>
      <c r="I4" s="57">
        <f>IF(E4&gt;0,H4/E4,0)</f>
        <v>1.0251441750435106</v>
      </c>
      <c r="J4" s="57">
        <f>IF(F4&gt;0,H4/F4,0)</f>
        <v>3.054659799135313</v>
      </c>
      <c r="K4" s="56">
        <f>K5+K9+K14+K20+K21+K22</f>
        <v>72486.2</v>
      </c>
      <c r="L4" s="57">
        <f t="shared" ref="L4:L51" si="1">IF(K4&gt;0,H4/K4,0)</f>
        <v>1.1920793199257238</v>
      </c>
      <c r="M4" s="56">
        <f>M5+M9+M14+M20+M21+M22</f>
        <v>8499.5</v>
      </c>
      <c r="N4" s="56">
        <f>N5+N9+N14+N20+N21+N22</f>
        <v>4870.3999999999996</v>
      </c>
      <c r="O4" s="57">
        <f t="shared" ref="O4:O51" si="2">IF(N4&gt;0,M4/N4,0)</f>
        <v>1.7451338699080159</v>
      </c>
      <c r="P4" s="56">
        <f>P5+P9+P14+P20+P21+P22</f>
        <v>177.20000000000002</v>
      </c>
      <c r="Q4" s="56">
        <f>Q5+Q9+Q14+Q20+Q21+Q22</f>
        <v>403</v>
      </c>
      <c r="R4" s="56">
        <f>R5+R9+R14+R20+R21+R22</f>
        <v>504.5</v>
      </c>
    </row>
    <row r="5" spans="1:21" ht="18.75">
      <c r="A5" s="37" t="s">
        <v>63</v>
      </c>
      <c r="B5" s="38">
        <v>1010200001</v>
      </c>
      <c r="C5" s="58">
        <f t="shared" ref="C5:H5" si="3">SUM(C6:C8)</f>
        <v>16129.4</v>
      </c>
      <c r="D5" s="58">
        <f t="shared" si="3"/>
        <v>221.8</v>
      </c>
      <c r="E5" s="58">
        <f t="shared" si="3"/>
        <v>16351.199999999999</v>
      </c>
      <c r="F5" s="58">
        <f t="shared" si="3"/>
        <v>9897.8000000000011</v>
      </c>
      <c r="G5" s="58">
        <f t="shared" si="3"/>
        <v>14775.599999999999</v>
      </c>
      <c r="H5" s="58">
        <f t="shared" si="3"/>
        <v>17197.400000000001</v>
      </c>
      <c r="I5" s="59">
        <f>IF(E5&gt;0,H5/E5,0)</f>
        <v>1.0517515534028086</v>
      </c>
      <c r="J5" s="59">
        <f>IF(F5&gt;0,H5/F5,0)</f>
        <v>1.737497221604801</v>
      </c>
      <c r="K5" s="58">
        <f>SUM(K6:K8)</f>
        <v>15956</v>
      </c>
      <c r="L5" s="59">
        <f t="shared" si="1"/>
        <v>1.0778014539984959</v>
      </c>
      <c r="M5" s="58">
        <f>SUM(M6:M8)</f>
        <v>2421.7999999999997</v>
      </c>
      <c r="N5" s="58">
        <f>SUM(N6:N8)</f>
        <v>2059.6999999999998</v>
      </c>
      <c r="O5" s="59">
        <f t="shared" si="2"/>
        <v>1.1758023013060155</v>
      </c>
      <c r="P5" s="58">
        <f>SUM(P6:P8)</f>
        <v>26.8</v>
      </c>
      <c r="Q5" s="58">
        <f>SUM(Q6:Q8)</f>
        <v>263.89999999999998</v>
      </c>
      <c r="R5" s="58">
        <f>SUM(R6:R8)</f>
        <v>313.2</v>
      </c>
    </row>
    <row r="6" spans="1:21" ht="18.75" customHeight="1">
      <c r="A6" s="40" t="s">
        <v>40</v>
      </c>
      <c r="B6" s="8">
        <v>1010201001</v>
      </c>
      <c r="C6" s="60">
        <v>16051.4</v>
      </c>
      <c r="D6" s="61"/>
      <c r="E6" s="61">
        <f>C6+D6</f>
        <v>16051.4</v>
      </c>
      <c r="F6" s="61">
        <f>2700+346+3300+3328.7+150</f>
        <v>9824.7000000000007</v>
      </c>
      <c r="G6" s="61">
        <v>14475</v>
      </c>
      <c r="H6" s="61">
        <f>G6+M6</f>
        <v>16897.7</v>
      </c>
      <c r="I6" s="62">
        <f t="shared" ref="I6:I51" si="4">IF(E6&gt;0,H6/E6,0)</f>
        <v>1.052724372951892</v>
      </c>
      <c r="J6" s="62">
        <f t="shared" ref="J6:J51" si="5">IF(F6&gt;0,H6/F6,0)</f>
        <v>1.719920201125734</v>
      </c>
      <c r="K6" s="61">
        <v>15804</v>
      </c>
      <c r="L6" s="62">
        <f t="shared" si="1"/>
        <v>1.0692039989875981</v>
      </c>
      <c r="M6" s="61">
        <v>2422.6999999999998</v>
      </c>
      <c r="N6" s="61">
        <v>2036.3</v>
      </c>
      <c r="O6" s="62">
        <f t="shared" si="2"/>
        <v>1.1897559298728084</v>
      </c>
      <c r="P6" s="61">
        <v>21.3</v>
      </c>
      <c r="Q6" s="61">
        <v>127.3</v>
      </c>
      <c r="R6" s="61">
        <v>56.2</v>
      </c>
      <c r="S6" s="26"/>
    </row>
    <row r="7" spans="1:21" ht="21" customHeight="1">
      <c r="A7" s="40" t="s">
        <v>41</v>
      </c>
      <c r="B7" s="8">
        <v>1010202001</v>
      </c>
      <c r="C7" s="60">
        <v>36</v>
      </c>
      <c r="D7" s="61">
        <v>67.8</v>
      </c>
      <c r="E7" s="61">
        <f t="shared" ref="E7:E22" si="6">C7+D7</f>
        <v>103.8</v>
      </c>
      <c r="F7" s="61">
        <f>26.1</f>
        <v>26.1</v>
      </c>
      <c r="G7" s="61">
        <v>103.8</v>
      </c>
      <c r="H7" s="61">
        <f>G7+M7</f>
        <v>103.8</v>
      </c>
      <c r="I7" s="62">
        <f t="shared" si="4"/>
        <v>1</v>
      </c>
      <c r="J7" s="62">
        <f t="shared" si="5"/>
        <v>3.9770114942528734</v>
      </c>
      <c r="K7" s="61">
        <v>43</v>
      </c>
      <c r="L7" s="62">
        <f t="shared" si="1"/>
        <v>2.4139534883720928</v>
      </c>
      <c r="M7" s="61"/>
      <c r="N7" s="61"/>
      <c r="O7" s="62">
        <f t="shared" si="2"/>
        <v>0</v>
      </c>
      <c r="P7" s="61"/>
      <c r="Q7" s="61"/>
      <c r="R7" s="61"/>
      <c r="S7" s="26"/>
    </row>
    <row r="8" spans="1:21" ht="21" customHeight="1">
      <c r="A8" s="40" t="s">
        <v>42</v>
      </c>
      <c r="B8" s="8">
        <v>1010203001</v>
      </c>
      <c r="C8" s="60">
        <v>42</v>
      </c>
      <c r="D8" s="61">
        <v>154</v>
      </c>
      <c r="E8" s="61">
        <f t="shared" si="6"/>
        <v>196</v>
      </c>
      <c r="F8" s="61">
        <f>2+45</f>
        <v>47</v>
      </c>
      <c r="G8" s="61">
        <v>196.8</v>
      </c>
      <c r="H8" s="61">
        <f>G8+M8</f>
        <v>195.9</v>
      </c>
      <c r="I8" s="62">
        <f t="shared" si="4"/>
        <v>0.9994897959183674</v>
      </c>
      <c r="J8" s="62">
        <f t="shared" si="5"/>
        <v>4.1680851063829785</v>
      </c>
      <c r="K8" s="61">
        <v>109</v>
      </c>
      <c r="L8" s="62">
        <f t="shared" si="1"/>
        <v>1.7972477064220185</v>
      </c>
      <c r="M8" s="61">
        <v>-0.9</v>
      </c>
      <c r="N8" s="61">
        <v>23.4</v>
      </c>
      <c r="O8" s="62">
        <f t="shared" si="2"/>
        <v>-3.8461538461538464E-2</v>
      </c>
      <c r="P8" s="61">
        <v>5.5</v>
      </c>
      <c r="Q8" s="61">
        <v>136.6</v>
      </c>
      <c r="R8" s="61">
        <v>257</v>
      </c>
      <c r="S8" s="26"/>
    </row>
    <row r="9" spans="1:21" ht="18" customHeight="1">
      <c r="A9" s="37" t="s">
        <v>48</v>
      </c>
      <c r="B9" s="39">
        <v>1030200001</v>
      </c>
      <c r="C9" s="58">
        <f t="shared" ref="C9:H9" si="7">SUM(C10:C13)</f>
        <v>8781.5</v>
      </c>
      <c r="D9" s="58">
        <f t="shared" si="7"/>
        <v>1318.5</v>
      </c>
      <c r="E9" s="58">
        <f t="shared" si="7"/>
        <v>10100</v>
      </c>
      <c r="F9" s="58">
        <f>925+200+490+1350+1800</f>
        <v>4765</v>
      </c>
      <c r="G9" s="58">
        <f>SUM(G10:G13)</f>
        <v>9298.1999999999989</v>
      </c>
      <c r="H9" s="58">
        <f t="shared" si="7"/>
        <v>10131.499999999998</v>
      </c>
      <c r="I9" s="59">
        <f t="shared" si="4"/>
        <v>1.003118811881188</v>
      </c>
      <c r="J9" s="59">
        <f t="shared" si="5"/>
        <v>2.1262329485834206</v>
      </c>
      <c r="K9" s="58">
        <f>SUM(K10:K13)</f>
        <v>8496.2000000000007</v>
      </c>
      <c r="L9" s="59">
        <f t="shared" si="1"/>
        <v>1.1924742826204653</v>
      </c>
      <c r="M9" s="58">
        <f>SUM(M10:M13)</f>
        <v>833.3</v>
      </c>
      <c r="N9" s="58">
        <f>SUM(N10:N13)</f>
        <v>754.19999999999993</v>
      </c>
      <c r="O9" s="59">
        <f t="shared" si="2"/>
        <v>1.1048793423495094</v>
      </c>
      <c r="P9" s="58">
        <f>SUM(P10:P13)</f>
        <v>0</v>
      </c>
      <c r="Q9" s="58">
        <f>SUM(Q10:Q13)</f>
        <v>0</v>
      </c>
      <c r="R9" s="58">
        <f>SUM(R10:R13)</f>
        <v>0</v>
      </c>
      <c r="S9" s="26"/>
    </row>
    <row r="10" spans="1:21" ht="18.75">
      <c r="A10" s="41" t="s">
        <v>49</v>
      </c>
      <c r="B10" s="41">
        <v>1030223101</v>
      </c>
      <c r="C10" s="60">
        <v>3970.4</v>
      </c>
      <c r="D10" s="61">
        <v>1038.5</v>
      </c>
      <c r="E10" s="61">
        <f t="shared" si="6"/>
        <v>5008.8999999999996</v>
      </c>
      <c r="F10" s="61"/>
      <c r="G10" s="61">
        <v>4646</v>
      </c>
      <c r="H10" s="61">
        <f>G10+M10</f>
        <v>5079</v>
      </c>
      <c r="I10" s="62">
        <f t="shared" si="4"/>
        <v>1.0139950887420393</v>
      </c>
      <c r="J10" s="62">
        <f t="shared" si="5"/>
        <v>0</v>
      </c>
      <c r="K10" s="61">
        <v>3922.4</v>
      </c>
      <c r="L10" s="62">
        <f t="shared" si="1"/>
        <v>1.2948704874566592</v>
      </c>
      <c r="M10" s="61">
        <v>433</v>
      </c>
      <c r="N10" s="61">
        <v>373.8</v>
      </c>
      <c r="O10" s="62">
        <f t="shared" si="2"/>
        <v>1.1583734617442483</v>
      </c>
      <c r="P10" s="61"/>
      <c r="Q10" s="61"/>
      <c r="R10" s="61"/>
      <c r="S10" s="26"/>
    </row>
    <row r="11" spans="1:21" ht="18.75">
      <c r="A11" s="41" t="s">
        <v>50</v>
      </c>
      <c r="B11" s="41">
        <v>1030224101</v>
      </c>
      <c r="C11" s="60">
        <v>22</v>
      </c>
      <c r="D11" s="61"/>
      <c r="E11" s="61">
        <f t="shared" si="6"/>
        <v>22</v>
      </c>
      <c r="F11" s="61"/>
      <c r="G11" s="61">
        <v>25.7</v>
      </c>
      <c r="H11" s="61">
        <f>G11+M11</f>
        <v>27.4</v>
      </c>
      <c r="I11" s="62">
        <f t="shared" si="4"/>
        <v>1.2454545454545454</v>
      </c>
      <c r="J11" s="62">
        <f t="shared" si="5"/>
        <v>0</v>
      </c>
      <c r="K11" s="61">
        <v>27.6</v>
      </c>
      <c r="L11" s="62">
        <f t="shared" si="1"/>
        <v>0.99275362318840565</v>
      </c>
      <c r="M11" s="61">
        <v>1.7</v>
      </c>
      <c r="N11" s="61">
        <v>2.4</v>
      </c>
      <c r="O11" s="62">
        <f t="shared" si="2"/>
        <v>0.70833333333333337</v>
      </c>
      <c r="P11" s="61"/>
      <c r="Q11" s="61"/>
      <c r="R11" s="61"/>
      <c r="S11" s="26"/>
    </row>
    <row r="12" spans="1:21" ht="18.75" customHeight="1">
      <c r="A12" s="41" t="s">
        <v>51</v>
      </c>
      <c r="B12" s="41">
        <v>1030225101</v>
      </c>
      <c r="C12" s="60">
        <v>5287</v>
      </c>
      <c r="D12" s="61">
        <v>280</v>
      </c>
      <c r="E12" s="61">
        <f t="shared" si="6"/>
        <v>5567</v>
      </c>
      <c r="F12" s="61"/>
      <c r="G12" s="61">
        <v>5171.3999999999996</v>
      </c>
      <c r="H12" s="61">
        <f>G12+M12</f>
        <v>5607.7999999999993</v>
      </c>
      <c r="I12" s="62">
        <f t="shared" si="4"/>
        <v>1.0073289024609304</v>
      </c>
      <c r="J12" s="62">
        <f t="shared" si="5"/>
        <v>0</v>
      </c>
      <c r="K12" s="61">
        <v>5215.1000000000004</v>
      </c>
      <c r="L12" s="62">
        <f t="shared" si="1"/>
        <v>1.0753005695001052</v>
      </c>
      <c r="M12" s="61">
        <v>436.4</v>
      </c>
      <c r="N12" s="61">
        <v>445.7</v>
      </c>
      <c r="O12" s="62">
        <f t="shared" si="2"/>
        <v>0.97913394660085251</v>
      </c>
      <c r="P12" s="61"/>
      <c r="Q12" s="61"/>
      <c r="R12" s="61"/>
      <c r="S12" s="26"/>
    </row>
    <row r="13" spans="1:21" ht="18.75" customHeight="1">
      <c r="A13" s="41" t="s">
        <v>52</v>
      </c>
      <c r="B13" s="41">
        <v>1030226101</v>
      </c>
      <c r="C13" s="60">
        <v>-497.9</v>
      </c>
      <c r="D13" s="61"/>
      <c r="E13" s="61">
        <f t="shared" si="6"/>
        <v>-497.9</v>
      </c>
      <c r="F13" s="61"/>
      <c r="G13" s="61">
        <v>-544.9</v>
      </c>
      <c r="H13" s="61">
        <f>G13+M13</f>
        <v>-582.69999999999993</v>
      </c>
      <c r="I13" s="62">
        <f>H13/E13</f>
        <v>1.1703153243623217</v>
      </c>
      <c r="J13" s="62">
        <f t="shared" si="5"/>
        <v>0</v>
      </c>
      <c r="K13" s="61">
        <v>-668.9</v>
      </c>
      <c r="L13" s="62">
        <f t="shared" si="1"/>
        <v>0</v>
      </c>
      <c r="M13" s="61">
        <v>-37.799999999999997</v>
      </c>
      <c r="N13" s="61">
        <v>-67.7</v>
      </c>
      <c r="O13" s="62">
        <f t="shared" si="2"/>
        <v>0</v>
      </c>
      <c r="P13" s="61"/>
      <c r="Q13" s="61"/>
      <c r="R13" s="61"/>
      <c r="S13" s="26"/>
    </row>
    <row r="14" spans="1:21" ht="18.75">
      <c r="A14" s="37" t="s">
        <v>55</v>
      </c>
      <c r="B14" s="38">
        <v>1050000000</v>
      </c>
      <c r="C14" s="58">
        <f t="shared" ref="C14:H14" si="8">SUM(C15:C19)</f>
        <v>35550</v>
      </c>
      <c r="D14" s="58">
        <f t="shared" si="8"/>
        <v>12134.7</v>
      </c>
      <c r="E14" s="58">
        <f t="shared" si="8"/>
        <v>47684.7</v>
      </c>
      <c r="F14" s="58">
        <f t="shared" si="8"/>
        <v>11352.9</v>
      </c>
      <c r="G14" s="58">
        <f>G15+G16+G17+G18+G19</f>
        <v>43920.9</v>
      </c>
      <c r="H14" s="58">
        <f t="shared" si="8"/>
        <v>48842</v>
      </c>
      <c r="I14" s="59">
        <f t="shared" si="4"/>
        <v>1.0242698391727325</v>
      </c>
      <c r="J14" s="59">
        <f t="shared" si="5"/>
        <v>4.3021606814117979</v>
      </c>
      <c r="K14" s="58">
        <f>K15+K16+K17+K18+K19</f>
        <v>41066.800000000003</v>
      </c>
      <c r="L14" s="59">
        <f t="shared" si="1"/>
        <v>1.1893305541215775</v>
      </c>
      <c r="M14" s="58">
        <f>M15+M16+M17+M18+M19</f>
        <v>4921.1000000000004</v>
      </c>
      <c r="N14" s="58">
        <f>N15+N16+N17+N18+N19</f>
        <v>2019.4</v>
      </c>
      <c r="O14" s="59">
        <f t="shared" si="2"/>
        <v>2.4369119540457564</v>
      </c>
      <c r="P14" s="58">
        <f>SUM(P15:P19)</f>
        <v>150.4</v>
      </c>
      <c r="Q14" s="58">
        <f>SUM(Q15:Q19)</f>
        <v>139.1</v>
      </c>
      <c r="R14" s="58">
        <f>SUM(R15:R19)</f>
        <v>191.29999999999998</v>
      </c>
      <c r="S14" s="26"/>
    </row>
    <row r="15" spans="1:21" ht="18.75">
      <c r="A15" s="40" t="s">
        <v>53</v>
      </c>
      <c r="B15" s="8">
        <v>1050101001</v>
      </c>
      <c r="C15" s="60">
        <v>28100</v>
      </c>
      <c r="D15" s="61">
        <v>10459</v>
      </c>
      <c r="E15" s="61">
        <f t="shared" si="6"/>
        <v>38559</v>
      </c>
      <c r="F15" s="61">
        <f>1100+1131+3100+350+1370</f>
        <v>7051</v>
      </c>
      <c r="G15" s="61">
        <v>35307</v>
      </c>
      <c r="H15" s="61">
        <f t="shared" ref="H15:H22" si="9">G15+M15</f>
        <v>39295.199999999997</v>
      </c>
      <c r="I15" s="62">
        <f t="shared" si="4"/>
        <v>1.019092818797168</v>
      </c>
      <c r="J15" s="62">
        <f t="shared" si="5"/>
        <v>5.5729967380513399</v>
      </c>
      <c r="K15" s="61">
        <v>32060.3</v>
      </c>
      <c r="L15" s="62">
        <f t="shared" si="1"/>
        <v>1.2256653867867735</v>
      </c>
      <c r="M15" s="61">
        <v>3988.2</v>
      </c>
      <c r="N15" s="61">
        <v>1496.7</v>
      </c>
      <c r="O15" s="62">
        <f t="shared" si="2"/>
        <v>2.6646622569653236</v>
      </c>
      <c r="P15" s="61">
        <v>146</v>
      </c>
      <c r="Q15" s="61">
        <v>98.3</v>
      </c>
      <c r="R15" s="61">
        <v>129.69999999999999</v>
      </c>
      <c r="S15" s="26"/>
    </row>
    <row r="16" spans="1:21" ht="18.75">
      <c r="A16" s="40" t="s">
        <v>54</v>
      </c>
      <c r="B16" s="8">
        <v>1050102001</v>
      </c>
      <c r="C16" s="60">
        <v>6000</v>
      </c>
      <c r="D16" s="61">
        <v>1411</v>
      </c>
      <c r="E16" s="61">
        <f t="shared" si="6"/>
        <v>7411</v>
      </c>
      <c r="F16" s="61">
        <f>100+159+500+350+400</f>
        <v>1509</v>
      </c>
      <c r="G16" s="61">
        <v>7115.5</v>
      </c>
      <c r="H16" s="61">
        <f t="shared" si="9"/>
        <v>7411.2</v>
      </c>
      <c r="I16" s="62">
        <f t="shared" si="4"/>
        <v>1.0000269869113481</v>
      </c>
      <c r="J16" s="62">
        <f t="shared" si="5"/>
        <v>4.9113320079522857</v>
      </c>
      <c r="K16" s="61">
        <v>6140.6</v>
      </c>
      <c r="L16" s="62">
        <f t="shared" si="1"/>
        <v>1.2069178907598606</v>
      </c>
      <c r="M16" s="61">
        <v>295.7</v>
      </c>
      <c r="N16" s="61">
        <v>254.6</v>
      </c>
      <c r="O16" s="62">
        <f t="shared" si="2"/>
        <v>1.1614296936370778</v>
      </c>
      <c r="P16" s="61">
        <v>2.2999999999999998</v>
      </c>
      <c r="Q16" s="61">
        <v>30.8</v>
      </c>
      <c r="R16" s="61">
        <v>61.6</v>
      </c>
      <c r="S16" s="26"/>
      <c r="U16" s="164"/>
    </row>
    <row r="17" spans="1:20" ht="18.75">
      <c r="A17" s="40" t="s">
        <v>0</v>
      </c>
      <c r="B17" s="8">
        <v>1050200002</v>
      </c>
      <c r="C17" s="60"/>
      <c r="D17" s="61"/>
      <c r="E17" s="61">
        <f t="shared" si="6"/>
        <v>0</v>
      </c>
      <c r="F17" s="61">
        <f>1000+126+65+1480-30</f>
        <v>2641</v>
      </c>
      <c r="G17" s="61">
        <v>-19.3</v>
      </c>
      <c r="H17" s="61">
        <f t="shared" si="9"/>
        <v>-19.2</v>
      </c>
      <c r="I17" s="62">
        <f t="shared" si="4"/>
        <v>0</v>
      </c>
      <c r="J17" s="62">
        <f t="shared" si="5"/>
        <v>-7.2699734948882995E-3</v>
      </c>
      <c r="K17" s="61">
        <v>1349.3</v>
      </c>
      <c r="L17" s="62">
        <f t="shared" si="1"/>
        <v>-1.4229600533610019E-2</v>
      </c>
      <c r="M17" s="61">
        <v>0.1</v>
      </c>
      <c r="N17" s="61">
        <v>7.2</v>
      </c>
      <c r="O17" s="62">
        <f t="shared" si="2"/>
        <v>1.388888888888889E-2</v>
      </c>
      <c r="P17" s="61">
        <v>2.1</v>
      </c>
      <c r="Q17" s="61"/>
      <c r="R17" s="61"/>
      <c r="S17" s="26"/>
      <c r="T17" s="156"/>
    </row>
    <row r="18" spans="1:20" ht="18.75">
      <c r="A18" s="40" t="s">
        <v>7</v>
      </c>
      <c r="B18" s="8">
        <v>1050300001</v>
      </c>
      <c r="C18" s="60">
        <v>210</v>
      </c>
      <c r="D18" s="61">
        <f>134.6+130.1</f>
        <v>264.7</v>
      </c>
      <c r="E18" s="61">
        <f t="shared" si="6"/>
        <v>474.7</v>
      </c>
      <c r="F18" s="61">
        <f>5.4+5.6+52</f>
        <v>63</v>
      </c>
      <c r="G18" s="61">
        <v>474.8</v>
      </c>
      <c r="H18" s="61">
        <f t="shared" si="9"/>
        <v>474.8</v>
      </c>
      <c r="I18" s="62">
        <f t="shared" si="4"/>
        <v>1.0002106593638087</v>
      </c>
      <c r="J18" s="62">
        <f t="shared" si="5"/>
        <v>7.5365079365079364</v>
      </c>
      <c r="K18" s="61">
        <v>185</v>
      </c>
      <c r="L18" s="62">
        <f t="shared" si="1"/>
        <v>2.5664864864864865</v>
      </c>
      <c r="M18" s="61"/>
      <c r="N18" s="61"/>
      <c r="O18" s="62">
        <f t="shared" si="2"/>
        <v>0</v>
      </c>
      <c r="P18" s="61"/>
      <c r="Q18" s="61"/>
      <c r="R18" s="61"/>
      <c r="S18" s="26"/>
    </row>
    <row r="19" spans="1:20" ht="18.75">
      <c r="A19" s="40" t="s">
        <v>96</v>
      </c>
      <c r="B19" s="8">
        <v>1050402002</v>
      </c>
      <c r="C19" s="60">
        <v>1240</v>
      </c>
      <c r="D19" s="61"/>
      <c r="E19" s="61">
        <f t="shared" si="6"/>
        <v>1240</v>
      </c>
      <c r="F19" s="61">
        <f>50+15+2.9+21</f>
        <v>88.9</v>
      </c>
      <c r="G19" s="61">
        <v>1042.9000000000001</v>
      </c>
      <c r="H19" s="61">
        <f t="shared" si="9"/>
        <v>1680</v>
      </c>
      <c r="I19" s="62">
        <f t="shared" si="4"/>
        <v>1.3548387096774193</v>
      </c>
      <c r="J19" s="62">
        <f t="shared" si="5"/>
        <v>18.897637795275589</v>
      </c>
      <c r="K19" s="61">
        <v>1331.6</v>
      </c>
      <c r="L19" s="62">
        <f t="shared" si="1"/>
        <v>1.2616401321718234</v>
      </c>
      <c r="M19" s="61">
        <v>637.1</v>
      </c>
      <c r="N19" s="61">
        <v>260.89999999999998</v>
      </c>
      <c r="O19" s="62">
        <f t="shared" si="2"/>
        <v>2.4419317746262941</v>
      </c>
      <c r="P19" s="61"/>
      <c r="Q19" s="61">
        <v>10</v>
      </c>
      <c r="R19" s="61"/>
      <c r="S19" s="26"/>
    </row>
    <row r="20" spans="1:20" ht="16.5" customHeight="1">
      <c r="A20" s="37" t="s">
        <v>57</v>
      </c>
      <c r="B20" s="38">
        <v>1060201002</v>
      </c>
      <c r="C20" s="58">
        <v>6350</v>
      </c>
      <c r="D20" s="63">
        <v>804</v>
      </c>
      <c r="E20" s="63">
        <f t="shared" si="6"/>
        <v>7154</v>
      </c>
      <c r="F20" s="63">
        <f>300+93+770+670+150</f>
        <v>1983</v>
      </c>
      <c r="G20" s="63">
        <v>7036.6</v>
      </c>
      <c r="H20" s="63">
        <f t="shared" si="9"/>
        <v>7167.8</v>
      </c>
      <c r="I20" s="59">
        <f t="shared" si="4"/>
        <v>1.001928990774392</v>
      </c>
      <c r="J20" s="59">
        <f t="shared" si="5"/>
        <v>3.6146243066061525</v>
      </c>
      <c r="K20" s="63">
        <v>6256.2</v>
      </c>
      <c r="L20" s="59">
        <f t="shared" si="1"/>
        <v>1.1457114542373965</v>
      </c>
      <c r="M20" s="63">
        <v>131.19999999999999</v>
      </c>
      <c r="N20" s="63">
        <v>1.5</v>
      </c>
      <c r="O20" s="59">
        <f t="shared" si="2"/>
        <v>87.466666666666654</v>
      </c>
      <c r="P20" s="63"/>
      <c r="Q20" s="63"/>
      <c r="R20" s="63"/>
      <c r="S20" s="26"/>
    </row>
    <row r="21" spans="1:20" ht="18" customHeight="1">
      <c r="A21" s="37" t="s">
        <v>64</v>
      </c>
      <c r="B21" s="38">
        <v>1080000000</v>
      </c>
      <c r="C21" s="58">
        <v>710</v>
      </c>
      <c r="D21" s="63">
        <v>2290</v>
      </c>
      <c r="E21" s="63">
        <f t="shared" si="6"/>
        <v>3000</v>
      </c>
      <c r="F21" s="63">
        <f>75+34+90+90</f>
        <v>289</v>
      </c>
      <c r="G21" s="63">
        <v>2878.5</v>
      </c>
      <c r="H21" s="63">
        <f t="shared" si="9"/>
        <v>3070.6</v>
      </c>
      <c r="I21" s="59">
        <f t="shared" si="4"/>
        <v>1.0235333333333334</v>
      </c>
      <c r="J21" s="59">
        <f t="shared" si="5"/>
        <v>10.624913494809688</v>
      </c>
      <c r="K21" s="63">
        <v>711</v>
      </c>
      <c r="L21" s="59">
        <f t="shared" si="1"/>
        <v>4.3187060478199717</v>
      </c>
      <c r="M21" s="63">
        <v>192.1</v>
      </c>
      <c r="N21" s="63">
        <v>35.6</v>
      </c>
      <c r="O21" s="59">
        <f t="shared" si="2"/>
        <v>5.3960674157303368</v>
      </c>
      <c r="P21" s="63"/>
      <c r="Q21" s="63"/>
      <c r="R21" s="63"/>
      <c r="S21" s="26"/>
    </row>
    <row r="22" spans="1:20" ht="2.25" hidden="1" customHeight="1">
      <c r="A22" s="37" t="s">
        <v>56</v>
      </c>
      <c r="B22" s="38">
        <v>1090000000</v>
      </c>
      <c r="C22" s="58"/>
      <c r="D22" s="63"/>
      <c r="E22" s="63">
        <f t="shared" si="6"/>
        <v>0</v>
      </c>
      <c r="F22" s="63"/>
      <c r="G22" s="63"/>
      <c r="H22" s="63">
        <f t="shared" si="9"/>
        <v>0</v>
      </c>
      <c r="I22" s="59">
        <f t="shared" si="4"/>
        <v>0</v>
      </c>
      <c r="J22" s="59">
        <f t="shared" si="5"/>
        <v>0</v>
      </c>
      <c r="K22" s="63"/>
      <c r="L22" s="59">
        <f t="shared" si="1"/>
        <v>0</v>
      </c>
      <c r="M22" s="63"/>
      <c r="N22" s="63"/>
      <c r="O22" s="59">
        <f t="shared" si="2"/>
        <v>0</v>
      </c>
      <c r="P22" s="63"/>
      <c r="Q22" s="63"/>
      <c r="R22" s="63"/>
      <c r="S22" s="26"/>
    </row>
    <row r="23" spans="1:20" ht="18.75">
      <c r="A23" s="42" t="s">
        <v>22</v>
      </c>
      <c r="B23" s="43"/>
      <c r="C23" s="56">
        <f t="shared" ref="C23:H23" si="10">C24+C31+C32+C36+C39+C40</f>
        <v>45935.144999999997</v>
      </c>
      <c r="D23" s="56">
        <f t="shared" si="10"/>
        <v>-28953.580999999998</v>
      </c>
      <c r="E23" s="56">
        <f t="shared" si="10"/>
        <v>16981.564000000002</v>
      </c>
      <c r="F23" s="56">
        <f t="shared" si="10"/>
        <v>7948.7</v>
      </c>
      <c r="G23" s="135">
        <f>G24+G31+G32+G36+G39+G40</f>
        <v>16260.999999999998</v>
      </c>
      <c r="H23" s="56">
        <f t="shared" si="10"/>
        <v>17616.899999999998</v>
      </c>
      <c r="I23" s="57">
        <f t="shared" si="4"/>
        <v>1.037413279483562</v>
      </c>
      <c r="J23" s="57">
        <f t="shared" si="5"/>
        <v>2.2163246820234752</v>
      </c>
      <c r="K23" s="135">
        <f>K24+K31+K32+K36+K39+K40</f>
        <v>24419.7</v>
      </c>
      <c r="L23" s="57">
        <f t="shared" si="1"/>
        <v>0.72142163908647516</v>
      </c>
      <c r="M23" s="135">
        <f>M24+M31+M32+M36+M39+M40</f>
        <v>1355.8999999999999</v>
      </c>
      <c r="N23" s="135">
        <f>N24+N31+N32+N36+N39+N40</f>
        <v>1709.4</v>
      </c>
      <c r="O23" s="57">
        <f t="shared" si="2"/>
        <v>0.79320229320229307</v>
      </c>
      <c r="P23" s="56">
        <f>P24+P31+P32+P36+P39+P40</f>
        <v>481.1</v>
      </c>
      <c r="Q23" s="56">
        <f>Q24+Q31+Q32+Q36+Q39+Q40</f>
        <v>633.79999999999995</v>
      </c>
      <c r="R23" s="56">
        <f>R24+R31+R32+R36+R39+R40</f>
        <v>463.20000000000005</v>
      </c>
      <c r="S23" s="26"/>
    </row>
    <row r="24" spans="1:20" ht="18.75">
      <c r="A24" s="44" t="s">
        <v>61</v>
      </c>
      <c r="B24" s="38">
        <v>1110000000</v>
      </c>
      <c r="C24" s="58">
        <f t="shared" ref="C24:H24" si="11">SUM(C25:C30)</f>
        <v>2076.5</v>
      </c>
      <c r="D24" s="58">
        <f t="shared" si="11"/>
        <v>1434.5</v>
      </c>
      <c r="E24" s="58">
        <f t="shared" si="11"/>
        <v>3511</v>
      </c>
      <c r="F24" s="58">
        <f t="shared" si="11"/>
        <v>2087.3000000000002</v>
      </c>
      <c r="G24" s="136">
        <f>SUM(G25:G30)</f>
        <v>3330.0999999999995</v>
      </c>
      <c r="H24" s="58">
        <f t="shared" si="11"/>
        <v>3666.8</v>
      </c>
      <c r="I24" s="59">
        <f t="shared" si="4"/>
        <v>1.0443748219880375</v>
      </c>
      <c r="J24" s="59">
        <f t="shared" si="5"/>
        <v>1.7567192066305752</v>
      </c>
      <c r="K24" s="136">
        <f>SUM(K25:K30)</f>
        <v>3214</v>
      </c>
      <c r="L24" s="59">
        <f t="shared" si="1"/>
        <v>1.1408836341008091</v>
      </c>
      <c r="M24" s="136">
        <f>SUM(M25:M30)</f>
        <v>336.7</v>
      </c>
      <c r="N24" s="136">
        <f>SUM(N25:N30)</f>
        <v>321.3</v>
      </c>
      <c r="O24" s="59">
        <f t="shared" si="2"/>
        <v>1.0479302832244008</v>
      </c>
      <c r="P24" s="58">
        <f>SUM(P25:P30)</f>
        <v>481.1</v>
      </c>
      <c r="Q24" s="58">
        <f>SUM(Q25:Q30)</f>
        <v>633.79999999999995</v>
      </c>
      <c r="R24" s="58">
        <f>SUM(R25:R30)</f>
        <v>463.20000000000005</v>
      </c>
      <c r="S24" s="26"/>
    </row>
    <row r="25" spans="1:20" ht="18.75" hidden="1">
      <c r="A25" s="8" t="s">
        <v>20</v>
      </c>
      <c r="B25" s="8">
        <v>1110105005</v>
      </c>
      <c r="C25" s="60"/>
      <c r="D25" s="61"/>
      <c r="E25" s="61">
        <f t="shared" ref="E25:E31" si="12">C25+D25</f>
        <v>0</v>
      </c>
      <c r="F25" s="61"/>
      <c r="G25" s="137"/>
      <c r="H25" s="61">
        <f t="shared" ref="H25:H31" si="13">G25+M25</f>
        <v>0</v>
      </c>
      <c r="I25" s="62">
        <f t="shared" si="4"/>
        <v>0</v>
      </c>
      <c r="J25" s="62">
        <f t="shared" si="5"/>
        <v>0</v>
      </c>
      <c r="K25" s="137"/>
      <c r="L25" s="62">
        <f t="shared" si="1"/>
        <v>0</v>
      </c>
      <c r="M25" s="137"/>
      <c r="N25" s="137"/>
      <c r="O25" s="62">
        <f t="shared" si="2"/>
        <v>0</v>
      </c>
      <c r="P25" s="61"/>
      <c r="Q25" s="61"/>
      <c r="R25" s="61"/>
      <c r="S25" s="26"/>
    </row>
    <row r="26" spans="1:20" ht="18.75">
      <c r="A26" s="8" t="s">
        <v>58</v>
      </c>
      <c r="B26" s="8">
        <v>1110501300</v>
      </c>
      <c r="C26" s="60">
        <v>1395</v>
      </c>
      <c r="D26" s="61">
        <f>245+135</f>
        <v>380</v>
      </c>
      <c r="E26" s="61">
        <f t="shared" si="12"/>
        <v>1775</v>
      </c>
      <c r="F26" s="61">
        <f>60+420+420</f>
        <v>900</v>
      </c>
      <c r="G26" s="137">
        <v>1678.6</v>
      </c>
      <c r="H26" s="182">
        <f t="shared" si="13"/>
        <v>1832.3999999999999</v>
      </c>
      <c r="I26" s="62">
        <f t="shared" si="4"/>
        <v>1.032338028169014</v>
      </c>
      <c r="J26" s="62">
        <f t="shared" si="5"/>
        <v>2.036</v>
      </c>
      <c r="K26" s="137">
        <v>1405.6</v>
      </c>
      <c r="L26" s="62">
        <f t="shared" si="1"/>
        <v>1.3036425725668754</v>
      </c>
      <c r="M26" s="137">
        <v>153.80000000000001</v>
      </c>
      <c r="N26" s="137">
        <v>121.2</v>
      </c>
      <c r="O26" s="62">
        <f t="shared" si="2"/>
        <v>1.2689768976897691</v>
      </c>
      <c r="P26" s="182">
        <f>197.2+122.9</f>
        <v>320.10000000000002</v>
      </c>
      <c r="Q26" s="61">
        <f>228.9+309.9</f>
        <v>538.79999999999995</v>
      </c>
      <c r="R26" s="61">
        <f>166.8+235.9</f>
        <v>402.70000000000005</v>
      </c>
      <c r="S26" s="26"/>
    </row>
    <row r="27" spans="1:20" ht="18.75">
      <c r="A27" s="8" t="s">
        <v>59</v>
      </c>
      <c r="B27" s="8">
        <v>1110502505</v>
      </c>
      <c r="C27" s="60"/>
      <c r="D27" s="61"/>
      <c r="E27" s="61">
        <f t="shared" si="12"/>
        <v>0</v>
      </c>
      <c r="F27" s="61"/>
      <c r="G27" s="137">
        <v>1.2</v>
      </c>
      <c r="H27" s="61">
        <f t="shared" si="13"/>
        <v>1.2</v>
      </c>
      <c r="I27" s="62">
        <f t="shared" si="4"/>
        <v>0</v>
      </c>
      <c r="J27" s="62">
        <f t="shared" si="5"/>
        <v>0</v>
      </c>
      <c r="K27" s="137">
        <v>0.2</v>
      </c>
      <c r="L27" s="62">
        <f t="shared" si="1"/>
        <v>5.9999999999999991</v>
      </c>
      <c r="M27" s="137"/>
      <c r="N27" s="137">
        <v>-0.1</v>
      </c>
      <c r="O27" s="62">
        <f t="shared" si="2"/>
        <v>0</v>
      </c>
      <c r="P27" s="61"/>
      <c r="Q27" s="61"/>
      <c r="R27" s="61"/>
      <c r="S27" s="26"/>
    </row>
    <row r="28" spans="1:20" ht="18.75">
      <c r="A28" s="178" t="s">
        <v>60</v>
      </c>
      <c r="B28" s="8">
        <v>1110503505</v>
      </c>
      <c r="C28" s="60">
        <v>600</v>
      </c>
      <c r="D28" s="61">
        <v>100</v>
      </c>
      <c r="E28" s="61">
        <f t="shared" si="12"/>
        <v>700</v>
      </c>
      <c r="F28" s="61">
        <f>250+140+365+165.3+267</f>
        <v>1187.3</v>
      </c>
      <c r="G28" s="137">
        <v>613.79999999999995</v>
      </c>
      <c r="H28" s="61">
        <f t="shared" si="13"/>
        <v>729.9</v>
      </c>
      <c r="I28" s="62">
        <f t="shared" si="4"/>
        <v>1.0427142857142857</v>
      </c>
      <c r="J28" s="62">
        <f t="shared" si="5"/>
        <v>0.61475616946011957</v>
      </c>
      <c r="K28" s="137">
        <v>751.7</v>
      </c>
      <c r="L28" s="62">
        <f t="shared" si="1"/>
        <v>0.97099906877743769</v>
      </c>
      <c r="M28" s="137">
        <v>116.1</v>
      </c>
      <c r="N28" s="137">
        <v>68.2</v>
      </c>
      <c r="O28" s="62">
        <f t="shared" si="2"/>
        <v>1.7023460410557183</v>
      </c>
      <c r="P28" s="182">
        <v>161</v>
      </c>
      <c r="Q28" s="61">
        <v>95</v>
      </c>
      <c r="R28" s="61">
        <v>60.5</v>
      </c>
      <c r="S28" s="26"/>
    </row>
    <row r="29" spans="1:20" ht="18.75">
      <c r="A29" s="8" t="s">
        <v>112</v>
      </c>
      <c r="B29" s="177">
        <v>1110507505</v>
      </c>
      <c r="C29" s="60">
        <v>81.5</v>
      </c>
      <c r="D29" s="61">
        <f>611.7+326.8</f>
        <v>938.5</v>
      </c>
      <c r="E29" s="61">
        <f t="shared" si="12"/>
        <v>1020</v>
      </c>
      <c r="F29" s="61"/>
      <c r="G29" s="137">
        <v>1020.8</v>
      </c>
      <c r="H29" s="61">
        <f t="shared" si="13"/>
        <v>1081.5</v>
      </c>
      <c r="I29" s="62">
        <f t="shared" si="4"/>
        <v>1.0602941176470588</v>
      </c>
      <c r="J29" s="62"/>
      <c r="K29" s="137">
        <v>1037.7</v>
      </c>
      <c r="L29" s="62">
        <f t="shared" si="1"/>
        <v>1.0422087308470656</v>
      </c>
      <c r="M29" s="137">
        <v>60.7</v>
      </c>
      <c r="N29" s="137">
        <v>129.69999999999999</v>
      </c>
      <c r="O29" s="62">
        <f t="shared" si="2"/>
        <v>0.46800308404009261</v>
      </c>
      <c r="P29" s="61"/>
      <c r="Q29" s="61"/>
      <c r="R29" s="61"/>
      <c r="S29" s="26"/>
    </row>
    <row r="30" spans="1:20" ht="18.75">
      <c r="A30" s="8" t="s">
        <v>23</v>
      </c>
      <c r="B30" s="8">
        <v>1110904505</v>
      </c>
      <c r="C30" s="60"/>
      <c r="D30" s="61">
        <v>16</v>
      </c>
      <c r="E30" s="61">
        <f t="shared" si="12"/>
        <v>16</v>
      </c>
      <c r="F30" s="61"/>
      <c r="G30" s="137">
        <v>15.7</v>
      </c>
      <c r="H30" s="61">
        <f t="shared" si="13"/>
        <v>21.799999999999997</v>
      </c>
      <c r="I30" s="62">
        <f t="shared" si="4"/>
        <v>1.3624999999999998</v>
      </c>
      <c r="J30" s="62">
        <f t="shared" si="5"/>
        <v>0</v>
      </c>
      <c r="K30" s="137">
        <v>18.8</v>
      </c>
      <c r="L30" s="62">
        <f t="shared" si="1"/>
        <v>1.1595744680851061</v>
      </c>
      <c r="M30" s="137">
        <v>6.1</v>
      </c>
      <c r="N30" s="137">
        <v>2.2999999999999998</v>
      </c>
      <c r="O30" s="62">
        <f t="shared" si="2"/>
        <v>2.6521739130434785</v>
      </c>
      <c r="P30" s="61"/>
      <c r="Q30" s="61"/>
      <c r="R30" s="61"/>
      <c r="S30" s="26"/>
    </row>
    <row r="31" spans="1:20" ht="18.75">
      <c r="A31" s="44" t="s">
        <v>65</v>
      </c>
      <c r="B31" s="38">
        <v>1120100000</v>
      </c>
      <c r="C31" s="58">
        <v>24.2</v>
      </c>
      <c r="D31" s="63">
        <v>44.4</v>
      </c>
      <c r="E31" s="63">
        <f t="shared" si="12"/>
        <v>68.599999999999994</v>
      </c>
      <c r="F31" s="63">
        <f>30+30+15</f>
        <v>75</v>
      </c>
      <c r="G31" s="138">
        <v>68.7</v>
      </c>
      <c r="H31" s="63">
        <f t="shared" si="13"/>
        <v>68.8</v>
      </c>
      <c r="I31" s="59">
        <f t="shared" si="4"/>
        <v>1.0029154518950438</v>
      </c>
      <c r="J31" s="59">
        <f t="shared" si="5"/>
        <v>0.91733333333333333</v>
      </c>
      <c r="K31" s="138">
        <v>26.5</v>
      </c>
      <c r="L31" s="59">
        <f t="shared" si="1"/>
        <v>2.5962264150943395</v>
      </c>
      <c r="M31" s="138">
        <v>0.1</v>
      </c>
      <c r="N31" s="138"/>
      <c r="O31" s="59">
        <f t="shared" si="2"/>
        <v>0</v>
      </c>
      <c r="P31" s="63"/>
      <c r="Q31" s="63"/>
      <c r="R31" s="63"/>
      <c r="S31" s="26"/>
    </row>
    <row r="32" spans="1:20" ht="18.75">
      <c r="A32" s="44" t="s">
        <v>66</v>
      </c>
      <c r="B32" s="38">
        <v>1130000000</v>
      </c>
      <c r="C32" s="58">
        <f t="shared" ref="C32:H32" si="14">SUM(C33:C35)</f>
        <v>9070</v>
      </c>
      <c r="D32" s="58">
        <f t="shared" si="14"/>
        <v>-1801.2</v>
      </c>
      <c r="E32" s="58">
        <f t="shared" si="14"/>
        <v>7268.8</v>
      </c>
      <c r="F32" s="58">
        <f t="shared" si="14"/>
        <v>5703.4</v>
      </c>
      <c r="G32" s="136">
        <f>SUM(G33:G35)</f>
        <v>6476.1</v>
      </c>
      <c r="H32" s="58">
        <f t="shared" si="14"/>
        <v>7442.9000000000005</v>
      </c>
      <c r="I32" s="59">
        <f t="shared" si="4"/>
        <v>1.023951683909311</v>
      </c>
      <c r="J32" s="59">
        <f t="shared" si="5"/>
        <v>1.3049935126415824</v>
      </c>
      <c r="K32" s="136">
        <f>SUM(K33:K35)</f>
        <v>6623</v>
      </c>
      <c r="L32" s="59">
        <f t="shared" si="1"/>
        <v>1.1237958629020082</v>
      </c>
      <c r="M32" s="136">
        <f>SUM(M33:M35)</f>
        <v>966.8</v>
      </c>
      <c r="N32" s="136">
        <f>SUM(N33:N35)</f>
        <v>760.1</v>
      </c>
      <c r="O32" s="59">
        <f t="shared" si="2"/>
        <v>1.271937902907512</v>
      </c>
      <c r="P32" s="58">
        <f>SUM(P33:P35)</f>
        <v>0</v>
      </c>
      <c r="Q32" s="58">
        <f>SUM(Q33:Q35)</f>
        <v>0</v>
      </c>
      <c r="R32" s="58">
        <f>SUM(R33:R35)</f>
        <v>0</v>
      </c>
      <c r="S32" s="26"/>
    </row>
    <row r="33" spans="1:20" ht="18.75">
      <c r="A33" s="45" t="s">
        <v>34</v>
      </c>
      <c r="B33" s="45">
        <v>1130199505</v>
      </c>
      <c r="C33" s="60">
        <v>7890</v>
      </c>
      <c r="D33" s="61">
        <v>-1291.2</v>
      </c>
      <c r="E33" s="61">
        <f>C33+D33</f>
        <v>6598.8</v>
      </c>
      <c r="F33" s="61">
        <f>1963.4+1945+1295</f>
        <v>5203.3999999999996</v>
      </c>
      <c r="G33" s="137">
        <v>5917.6</v>
      </c>
      <c r="H33" s="61">
        <f>G33+M33</f>
        <v>6617.2000000000007</v>
      </c>
      <c r="I33" s="62">
        <f t="shared" si="4"/>
        <v>1.0027883857671092</v>
      </c>
      <c r="J33" s="62">
        <f t="shared" si="5"/>
        <v>1.2717069608333016</v>
      </c>
      <c r="K33" s="137">
        <v>6087.4</v>
      </c>
      <c r="L33" s="62">
        <f t="shared" si="1"/>
        <v>1.0870322305089202</v>
      </c>
      <c r="M33" s="137">
        <v>699.6</v>
      </c>
      <c r="N33" s="137">
        <v>625.20000000000005</v>
      </c>
      <c r="O33" s="62">
        <f t="shared" si="2"/>
        <v>1.1190019193857965</v>
      </c>
      <c r="P33" s="61"/>
      <c r="Q33" s="61"/>
      <c r="R33" s="61"/>
      <c r="S33" s="26"/>
    </row>
    <row r="34" spans="1:20" ht="18.75">
      <c r="A34" s="45" t="s">
        <v>35</v>
      </c>
      <c r="B34" s="45">
        <v>1130206505</v>
      </c>
      <c r="C34" s="60">
        <v>480</v>
      </c>
      <c r="D34" s="61">
        <v>-30</v>
      </c>
      <c r="E34" s="61">
        <f>C34+D34</f>
        <v>450</v>
      </c>
      <c r="F34" s="61">
        <f>240+165+95</f>
        <v>500</v>
      </c>
      <c r="G34" s="137">
        <v>339</v>
      </c>
      <c r="H34" s="61">
        <f>G34+M34</f>
        <v>476.2</v>
      </c>
      <c r="I34" s="62">
        <f t="shared" si="4"/>
        <v>1.0582222222222222</v>
      </c>
      <c r="J34" s="62">
        <f t="shared" si="5"/>
        <v>0.95240000000000002</v>
      </c>
      <c r="K34" s="137">
        <v>482.8</v>
      </c>
      <c r="L34" s="62">
        <f t="shared" si="1"/>
        <v>0.98632974316487154</v>
      </c>
      <c r="M34" s="137">
        <v>137.19999999999999</v>
      </c>
      <c r="N34" s="137">
        <v>134.9</v>
      </c>
      <c r="O34" s="62">
        <f t="shared" si="2"/>
        <v>1.0170496664195698</v>
      </c>
      <c r="P34" s="61"/>
      <c r="Q34" s="61"/>
      <c r="R34" s="61"/>
      <c r="S34" s="26"/>
    </row>
    <row r="35" spans="1:20" ht="18.75">
      <c r="A35" s="45" t="s">
        <v>62</v>
      </c>
      <c r="B35" s="45">
        <v>1130299505</v>
      </c>
      <c r="C35" s="60">
        <v>700</v>
      </c>
      <c r="D35" s="61">
        <f>300-780</f>
        <v>-480</v>
      </c>
      <c r="E35" s="61">
        <f>C35+D35</f>
        <v>220</v>
      </c>
      <c r="F35" s="61"/>
      <c r="G35" s="137">
        <v>219.5</v>
      </c>
      <c r="H35" s="61">
        <f>G35+M35</f>
        <v>349.5</v>
      </c>
      <c r="I35" s="62">
        <f t="shared" si="4"/>
        <v>1.5886363636363636</v>
      </c>
      <c r="J35" s="62">
        <f t="shared" si="5"/>
        <v>0</v>
      </c>
      <c r="K35" s="137">
        <v>52.8</v>
      </c>
      <c r="L35" s="62">
        <f t="shared" si="1"/>
        <v>6.6193181818181825</v>
      </c>
      <c r="M35" s="137">
        <v>130</v>
      </c>
      <c r="N35" s="137"/>
      <c r="O35" s="62">
        <f t="shared" si="2"/>
        <v>0</v>
      </c>
      <c r="P35" s="61"/>
      <c r="Q35" s="61"/>
      <c r="R35" s="61"/>
      <c r="S35" s="26"/>
    </row>
    <row r="36" spans="1:20" ht="18.75">
      <c r="A36" s="44" t="s">
        <v>67</v>
      </c>
      <c r="B36" s="38">
        <v>1140000000</v>
      </c>
      <c r="C36" s="58">
        <f t="shared" ref="C36:H36" si="15">SUM(C37:C38)</f>
        <v>34120.065000000002</v>
      </c>
      <c r="D36" s="58">
        <f t="shared" si="15"/>
        <v>-30075.681</v>
      </c>
      <c r="E36" s="58">
        <f t="shared" si="15"/>
        <v>4044.3840000000018</v>
      </c>
      <c r="F36" s="58">
        <f t="shared" si="15"/>
        <v>0</v>
      </c>
      <c r="G36" s="136">
        <f>G37+G38</f>
        <v>4210.7</v>
      </c>
      <c r="H36" s="58">
        <f t="shared" si="15"/>
        <v>4090.5</v>
      </c>
      <c r="I36" s="59">
        <f t="shared" si="4"/>
        <v>1.0114024781029689</v>
      </c>
      <c r="J36" s="59">
        <f t="shared" si="5"/>
        <v>0</v>
      </c>
      <c r="K36" s="136">
        <f>K37+K38</f>
        <v>10637.5</v>
      </c>
      <c r="L36" s="59">
        <f t="shared" si="1"/>
        <v>0.38453584018801412</v>
      </c>
      <c r="M36" s="136">
        <f>M37+M38</f>
        <v>-120.20000000000002</v>
      </c>
      <c r="N36" s="136">
        <f>N37+N38</f>
        <v>69</v>
      </c>
      <c r="O36" s="59">
        <f>IF(N36&gt;0,M36/N36,0)</f>
        <v>-1.7420289855072466</v>
      </c>
      <c r="P36" s="58">
        <f>SUM(P37:P38)</f>
        <v>0</v>
      </c>
      <c r="Q36" s="58">
        <f>SUM(Q37:Q38)</f>
        <v>0</v>
      </c>
      <c r="R36" s="58">
        <f>SUM(R37:R38)</f>
        <v>0</v>
      </c>
      <c r="S36" s="26"/>
    </row>
    <row r="37" spans="1:20" ht="18.75">
      <c r="A37" s="8" t="s">
        <v>31</v>
      </c>
      <c r="B37" s="8">
        <v>1140205305</v>
      </c>
      <c r="C37" s="60">
        <v>34085.065000000002</v>
      </c>
      <c r="D37" s="61">
        <f>-8638.599+18776.9-11145.438-29068.544</f>
        <v>-30075.681</v>
      </c>
      <c r="E37" s="61">
        <f>C37+D37</f>
        <v>4009.3840000000018</v>
      </c>
      <c r="F37" s="61"/>
      <c r="G37" s="137">
        <v>4009.5</v>
      </c>
      <c r="H37" s="61">
        <f>G37+M37</f>
        <v>4021.1</v>
      </c>
      <c r="I37" s="62">
        <f t="shared" si="4"/>
        <v>1.0029221446486538</v>
      </c>
      <c r="J37" s="62">
        <f t="shared" si="5"/>
        <v>0</v>
      </c>
      <c r="K37" s="137">
        <v>8365.1</v>
      </c>
      <c r="L37" s="62">
        <f t="shared" si="1"/>
        <v>0.48069957322685919</v>
      </c>
      <c r="M37" s="137">
        <v>11.6</v>
      </c>
      <c r="N37" s="137">
        <v>4</v>
      </c>
      <c r="O37" s="62">
        <f>IF(N37&gt;0,M37/N37,0)</f>
        <v>2.9</v>
      </c>
      <c r="P37" s="61"/>
      <c r="Q37" s="61"/>
      <c r="R37" s="61"/>
      <c r="S37" s="26"/>
    </row>
    <row r="38" spans="1:20" ht="18.75">
      <c r="A38" s="8" t="s">
        <v>32</v>
      </c>
      <c r="B38" s="8">
        <v>1140600000</v>
      </c>
      <c r="C38" s="60">
        <v>35</v>
      </c>
      <c r="D38" s="61"/>
      <c r="E38" s="61">
        <f>C38+D38</f>
        <v>35</v>
      </c>
      <c r="F38" s="61"/>
      <c r="G38" s="137">
        <v>201.2</v>
      </c>
      <c r="H38" s="61">
        <f>G38+M38</f>
        <v>69.399999999999977</v>
      </c>
      <c r="I38" s="62">
        <f t="shared" si="4"/>
        <v>1.9828571428571422</v>
      </c>
      <c r="J38" s="62">
        <f t="shared" si="5"/>
        <v>0</v>
      </c>
      <c r="K38" s="137">
        <v>2272.4</v>
      </c>
      <c r="L38" s="62">
        <f t="shared" si="1"/>
        <v>3.0540397817285677E-2</v>
      </c>
      <c r="M38" s="137">
        <v>-131.80000000000001</v>
      </c>
      <c r="N38" s="137">
        <v>65</v>
      </c>
      <c r="O38" s="62">
        <f t="shared" si="2"/>
        <v>-2.0276923076923077</v>
      </c>
      <c r="P38" s="61"/>
      <c r="Q38" s="61"/>
      <c r="R38" s="61"/>
      <c r="S38" s="26"/>
    </row>
    <row r="39" spans="1:20" ht="18.75">
      <c r="A39" s="44" t="s">
        <v>68</v>
      </c>
      <c r="B39" s="38">
        <v>1160000000</v>
      </c>
      <c r="C39" s="58">
        <v>45.1</v>
      </c>
      <c r="D39" s="63">
        <f>1235+209.4</f>
        <v>1444.4</v>
      </c>
      <c r="E39" s="63">
        <f>C39+D39</f>
        <v>1489.5</v>
      </c>
      <c r="F39" s="63">
        <f>38+45</f>
        <v>83</v>
      </c>
      <c r="G39" s="138">
        <v>1493.8</v>
      </c>
      <c r="H39" s="63">
        <f>G39+M39</f>
        <v>1665.8</v>
      </c>
      <c r="I39" s="59">
        <f t="shared" si="4"/>
        <v>1.1183618663981201</v>
      </c>
      <c r="J39" s="59">
        <f t="shared" si="5"/>
        <v>20.069879518072288</v>
      </c>
      <c r="K39" s="138">
        <v>3434.4</v>
      </c>
      <c r="L39" s="59">
        <f t="shared" si="1"/>
        <v>0.48503377591427904</v>
      </c>
      <c r="M39" s="138">
        <v>172</v>
      </c>
      <c r="N39" s="138">
        <v>558.9</v>
      </c>
      <c r="O39" s="59">
        <f t="shared" si="2"/>
        <v>0.30774736088745752</v>
      </c>
      <c r="P39" s="63"/>
      <c r="Q39" s="63"/>
      <c r="R39" s="63"/>
      <c r="S39" s="26"/>
    </row>
    <row r="40" spans="1:20" ht="18.75">
      <c r="A40" s="44" t="s">
        <v>69</v>
      </c>
      <c r="B40" s="38">
        <v>1170000000</v>
      </c>
      <c r="C40" s="58">
        <f t="shared" ref="C40:H40" si="16">SUM(C41:C43)</f>
        <v>599.28</v>
      </c>
      <c r="D40" s="58">
        <f t="shared" si="16"/>
        <v>0</v>
      </c>
      <c r="E40" s="58">
        <f t="shared" si="16"/>
        <v>599.28</v>
      </c>
      <c r="F40" s="58">
        <f t="shared" si="16"/>
        <v>0</v>
      </c>
      <c r="G40" s="58">
        <f>SUM(G41:G43)</f>
        <v>681.59999999999991</v>
      </c>
      <c r="H40" s="58">
        <f t="shared" si="16"/>
        <v>682.09999999999991</v>
      </c>
      <c r="I40" s="59">
        <f t="shared" si="4"/>
        <v>1.1381991723401415</v>
      </c>
      <c r="J40" s="59">
        <f t="shared" si="5"/>
        <v>0</v>
      </c>
      <c r="K40" s="58">
        <f>SUM(K41:K43)</f>
        <v>484.3</v>
      </c>
      <c r="L40" s="59">
        <f t="shared" si="1"/>
        <v>1.4084245302498448</v>
      </c>
      <c r="M40" s="58">
        <f>SUM(M41:M43)</f>
        <v>0.5</v>
      </c>
      <c r="N40" s="58">
        <f>SUM(N41:N43)</f>
        <v>0.1</v>
      </c>
      <c r="O40" s="59">
        <f t="shared" si="2"/>
        <v>5</v>
      </c>
      <c r="P40" s="58">
        <f>SUM(P41:P42)</f>
        <v>0</v>
      </c>
      <c r="Q40" s="58">
        <f>SUM(Q41:Q42)</f>
        <v>0</v>
      </c>
      <c r="R40" s="58">
        <f>SUM(R41:R42)</f>
        <v>0</v>
      </c>
      <c r="S40" s="26"/>
    </row>
    <row r="41" spans="1:20" ht="18.75">
      <c r="A41" s="8" t="s">
        <v>8</v>
      </c>
      <c r="B41" s="8">
        <v>1170105005</v>
      </c>
      <c r="C41" s="60"/>
      <c r="D41" s="61"/>
      <c r="E41" s="61">
        <f>C41+D41</f>
        <v>0</v>
      </c>
      <c r="F41" s="61"/>
      <c r="G41" s="137">
        <v>3.7</v>
      </c>
      <c r="H41" s="61">
        <f>G41+M41</f>
        <v>4.2</v>
      </c>
      <c r="I41" s="62">
        <f t="shared" si="4"/>
        <v>0</v>
      </c>
      <c r="J41" s="62">
        <f t="shared" si="5"/>
        <v>0</v>
      </c>
      <c r="K41" s="137">
        <v>0.1</v>
      </c>
      <c r="L41" s="62">
        <f t="shared" si="1"/>
        <v>42</v>
      </c>
      <c r="M41" s="137">
        <v>0.5</v>
      </c>
      <c r="N41" s="137">
        <v>0.1</v>
      </c>
      <c r="O41" s="62">
        <f t="shared" si="2"/>
        <v>5</v>
      </c>
      <c r="P41" s="61"/>
      <c r="Q41" s="61"/>
      <c r="R41" s="61"/>
      <c r="S41" s="26"/>
    </row>
    <row r="42" spans="1:20" ht="18.75">
      <c r="A42" s="8" t="s">
        <v>14</v>
      </c>
      <c r="B42" s="8">
        <v>1170505005</v>
      </c>
      <c r="C42" s="60"/>
      <c r="D42" s="61"/>
      <c r="E42" s="61">
        <f>C42+D42</f>
        <v>0</v>
      </c>
      <c r="F42" s="61"/>
      <c r="G42" s="137">
        <v>0.1</v>
      </c>
      <c r="H42" s="61">
        <f>G42+M42</f>
        <v>0.1</v>
      </c>
      <c r="I42" s="62">
        <f t="shared" si="4"/>
        <v>0</v>
      </c>
      <c r="J42" s="62">
        <f t="shared" si="5"/>
        <v>0</v>
      </c>
      <c r="K42" s="137"/>
      <c r="L42" s="62">
        <f t="shared" si="1"/>
        <v>0</v>
      </c>
      <c r="M42" s="137"/>
      <c r="N42" s="137"/>
      <c r="O42" s="62">
        <f t="shared" si="2"/>
        <v>0</v>
      </c>
      <c r="P42" s="61"/>
      <c r="Q42" s="61"/>
      <c r="R42" s="61"/>
      <c r="S42" s="26"/>
    </row>
    <row r="43" spans="1:20" ht="18.75">
      <c r="A43" s="45" t="s">
        <v>119</v>
      </c>
      <c r="B43" s="179">
        <v>1171503005</v>
      </c>
      <c r="C43" s="60">
        <v>599.28</v>
      </c>
      <c r="D43" s="61"/>
      <c r="E43" s="61">
        <f>C43+D43</f>
        <v>599.28</v>
      </c>
      <c r="F43" s="61"/>
      <c r="G43" s="137">
        <v>677.8</v>
      </c>
      <c r="H43" s="61">
        <f>G43+M43</f>
        <v>677.8</v>
      </c>
      <c r="I43" s="62">
        <f t="shared" si="4"/>
        <v>1.1310238953410758</v>
      </c>
      <c r="J43" s="62"/>
      <c r="K43" s="137">
        <v>484.2</v>
      </c>
      <c r="L43" s="62">
        <f t="shared" si="1"/>
        <v>1.399834779016935</v>
      </c>
      <c r="M43" s="137"/>
      <c r="N43" s="137"/>
      <c r="O43" s="62">
        <f t="shared" si="2"/>
        <v>0</v>
      </c>
      <c r="P43" s="61"/>
      <c r="Q43" s="61"/>
      <c r="R43" s="61"/>
      <c r="S43" s="26"/>
    </row>
    <row r="44" spans="1:20" ht="18.75" customHeight="1">
      <c r="A44" s="43" t="s">
        <v>89</v>
      </c>
      <c r="B44" s="43">
        <v>1000000000</v>
      </c>
      <c r="C44" s="56">
        <f t="shared" ref="C44:H44" si="17">C4+C23</f>
        <v>113456.04499999998</v>
      </c>
      <c r="D44" s="56">
        <f t="shared" si="17"/>
        <v>-12184.580999999998</v>
      </c>
      <c r="E44" s="56">
        <f t="shared" si="17"/>
        <v>101271.46399999999</v>
      </c>
      <c r="F44" s="56">
        <f t="shared" si="17"/>
        <v>36236.400000000001</v>
      </c>
      <c r="G44" s="56">
        <f>G4+G23</f>
        <v>94170.8</v>
      </c>
      <c r="H44" s="121">
        <f t="shared" si="17"/>
        <v>104026.2</v>
      </c>
      <c r="I44" s="57">
        <f t="shared" si="4"/>
        <v>1.0272015026858898</v>
      </c>
      <c r="J44" s="57">
        <f t="shared" si="5"/>
        <v>2.8707653078120341</v>
      </c>
      <c r="K44" s="56">
        <f>K4+K23</f>
        <v>96905.9</v>
      </c>
      <c r="L44" s="57">
        <f t="shared" si="1"/>
        <v>1.0734764343553902</v>
      </c>
      <c r="M44" s="56">
        <f>M4+M23</f>
        <v>9855.4</v>
      </c>
      <c r="N44" s="56">
        <f>N4+N23</f>
        <v>6579.7999999999993</v>
      </c>
      <c r="O44" s="57">
        <f t="shared" si="2"/>
        <v>1.4978266816620567</v>
      </c>
      <c r="P44" s="56">
        <f>P4+P23</f>
        <v>658.30000000000007</v>
      </c>
      <c r="Q44" s="56">
        <f>Q4+Q23</f>
        <v>1036.8</v>
      </c>
      <c r="R44" s="56">
        <f>R4+R23</f>
        <v>967.7</v>
      </c>
      <c r="S44" s="159"/>
      <c r="T44" s="158"/>
    </row>
    <row r="45" spans="1:20" ht="18.75" customHeight="1">
      <c r="A45" s="43" t="s">
        <v>91</v>
      </c>
      <c r="B45" s="43"/>
      <c r="C45" s="56">
        <f>C44-C9-7800</f>
        <v>96874.544999999984</v>
      </c>
      <c r="D45" s="56">
        <f>D44-D9</f>
        <v>-13503.080999999998</v>
      </c>
      <c r="E45" s="56">
        <f>C45+D45</f>
        <v>83371.463999999978</v>
      </c>
      <c r="F45" s="56">
        <f>F44-F9-1728.4-1750</f>
        <v>27993</v>
      </c>
      <c r="G45" s="56">
        <f>G44-G9-5830.7</f>
        <v>79041.900000000009</v>
      </c>
      <c r="H45" s="121">
        <f t="shared" ref="H45:H50" si="18">G45+M45</f>
        <v>88064.000000000015</v>
      </c>
      <c r="I45" s="57">
        <f>IF(E45&gt;0,H45/E45,0)</f>
        <v>1.0562846779324881</v>
      </c>
      <c r="J45" s="57">
        <f>IF(F45&gt;0,H45/F45,0)</f>
        <v>3.145929339477727</v>
      </c>
      <c r="K45" s="56">
        <v>82412.800000000003</v>
      </c>
      <c r="L45" s="57">
        <f t="shared" si="1"/>
        <v>1.068571872330512</v>
      </c>
      <c r="M45" s="56">
        <f>M44-M9</f>
        <v>9022.1</v>
      </c>
      <c r="N45" s="56">
        <f>N44-N9-620.8</f>
        <v>5204.7999999999993</v>
      </c>
      <c r="O45" s="57">
        <f t="shared" si="2"/>
        <v>1.7334191515524136</v>
      </c>
      <c r="P45" s="56"/>
      <c r="Q45" s="56"/>
      <c r="R45" s="56"/>
      <c r="S45" s="167"/>
    </row>
    <row r="46" spans="1:20" ht="18.75">
      <c r="A46" s="8" t="s">
        <v>36</v>
      </c>
      <c r="B46" s="8">
        <v>2000000000</v>
      </c>
      <c r="C46" s="60">
        <v>348234.12</v>
      </c>
      <c r="D46" s="130">
        <f>34680.163+3700-966.45+3869.29-361.2+1481.2</f>
        <v>42403.003000000004</v>
      </c>
      <c r="E46" s="130">
        <f>C46+D46</f>
        <v>390637.12300000002</v>
      </c>
      <c r="F46" s="61">
        <f>34850.65+571.1+470.1+38803.34</f>
        <v>74695.19</v>
      </c>
      <c r="G46" s="61">
        <v>246265.1</v>
      </c>
      <c r="H46" s="61">
        <f t="shared" si="18"/>
        <v>285843</v>
      </c>
      <c r="I46" s="62">
        <f t="shared" si="4"/>
        <v>0.73173537068057914</v>
      </c>
      <c r="J46" s="62">
        <f t="shared" si="5"/>
        <v>3.8267925953465007</v>
      </c>
      <c r="K46" s="61">
        <v>207568.4</v>
      </c>
      <c r="L46" s="62">
        <f t="shared" si="1"/>
        <v>1.377102680369459</v>
      </c>
      <c r="M46" s="61">
        <v>39577.9</v>
      </c>
      <c r="N46" s="61">
        <v>18175.8</v>
      </c>
      <c r="O46" s="62">
        <f t="shared" si="2"/>
        <v>2.1775052542391533</v>
      </c>
      <c r="P46" s="61"/>
      <c r="Q46" s="61"/>
      <c r="R46" s="61"/>
      <c r="S46" s="162"/>
    </row>
    <row r="47" spans="1:20" ht="18.75">
      <c r="A47" s="8" t="s">
        <v>114</v>
      </c>
      <c r="B47" s="46" t="s">
        <v>102</v>
      </c>
      <c r="C47" s="60">
        <v>1045.22</v>
      </c>
      <c r="D47" s="61">
        <f>-1045.22+1000</f>
        <v>-45.220000000000027</v>
      </c>
      <c r="E47" s="61">
        <f>C47+D47</f>
        <v>1000</v>
      </c>
      <c r="F47" s="61"/>
      <c r="G47" s="61">
        <v>1003.3</v>
      </c>
      <c r="H47" s="61">
        <f t="shared" si="18"/>
        <v>1003.3</v>
      </c>
      <c r="I47" s="62">
        <f t="shared" si="4"/>
        <v>1.0032999999999999</v>
      </c>
      <c r="J47" s="62">
        <f t="shared" si="5"/>
        <v>0</v>
      </c>
      <c r="K47" s="61">
        <v>1930.3</v>
      </c>
      <c r="L47" s="62">
        <f t="shared" si="1"/>
        <v>0.51976376729005858</v>
      </c>
      <c r="M47" s="61"/>
      <c r="N47" s="61">
        <v>379.9</v>
      </c>
      <c r="O47" s="62">
        <f t="shared" si="2"/>
        <v>0</v>
      </c>
      <c r="P47" s="61"/>
      <c r="Q47" s="61"/>
      <c r="R47" s="61"/>
    </row>
    <row r="48" spans="1:20" ht="18.75">
      <c r="A48" s="8" t="s">
        <v>46</v>
      </c>
      <c r="B48" s="46" t="s">
        <v>37</v>
      </c>
      <c r="C48" s="60">
        <v>85.8</v>
      </c>
      <c r="D48" s="61"/>
      <c r="E48" s="61">
        <f>C48+D48</f>
        <v>85.8</v>
      </c>
      <c r="F48" s="61"/>
      <c r="G48" s="61">
        <v>122</v>
      </c>
      <c r="H48" s="61">
        <f t="shared" si="18"/>
        <v>127.4</v>
      </c>
      <c r="I48" s="62">
        <f t="shared" si="4"/>
        <v>1.4848484848484849</v>
      </c>
      <c r="J48" s="62"/>
      <c r="K48" s="61">
        <v>31.6</v>
      </c>
      <c r="L48" s="62">
        <f t="shared" si="1"/>
        <v>4.0316455696202533</v>
      </c>
      <c r="M48" s="61">
        <v>5.4</v>
      </c>
      <c r="N48" s="61">
        <v>8.8000000000000007</v>
      </c>
      <c r="O48" s="62"/>
      <c r="P48" s="61"/>
      <c r="Q48" s="61"/>
      <c r="R48" s="61"/>
    </row>
    <row r="49" spans="1:19" ht="18.75">
      <c r="A49" s="8" t="s">
        <v>121</v>
      </c>
      <c r="B49" s="46" t="s">
        <v>120</v>
      </c>
      <c r="C49" s="60"/>
      <c r="D49" s="61"/>
      <c r="E49" s="61"/>
      <c r="F49" s="61"/>
      <c r="G49" s="61"/>
      <c r="H49" s="61">
        <f t="shared" si="18"/>
        <v>0</v>
      </c>
      <c r="I49" s="62"/>
      <c r="J49" s="62"/>
      <c r="K49" s="61"/>
      <c r="L49" s="62"/>
      <c r="M49" s="61"/>
      <c r="N49" s="61"/>
      <c r="O49" s="62"/>
      <c r="P49" s="61"/>
      <c r="Q49" s="61"/>
      <c r="R49" s="61"/>
    </row>
    <row r="50" spans="1:19" ht="18.75">
      <c r="A50" s="8" t="s">
        <v>93</v>
      </c>
      <c r="B50" s="46" t="s">
        <v>109</v>
      </c>
      <c r="C50" s="60"/>
      <c r="D50" s="130">
        <v>-22.126000000000001</v>
      </c>
      <c r="E50" s="130">
        <f>C50+D50</f>
        <v>-22.126000000000001</v>
      </c>
      <c r="F50" s="61"/>
      <c r="G50" s="61">
        <v>-22.1</v>
      </c>
      <c r="H50" s="61">
        <f t="shared" si="18"/>
        <v>-22.1</v>
      </c>
      <c r="I50" s="62">
        <f t="shared" si="4"/>
        <v>0</v>
      </c>
      <c r="J50" s="62"/>
      <c r="K50" s="61">
        <v>-2.7</v>
      </c>
      <c r="L50" s="62">
        <f t="shared" si="1"/>
        <v>0</v>
      </c>
      <c r="M50" s="61"/>
      <c r="N50" s="61"/>
      <c r="O50" s="62">
        <f t="shared" si="2"/>
        <v>0</v>
      </c>
      <c r="P50" s="61"/>
      <c r="Q50" s="61"/>
      <c r="R50" s="61"/>
    </row>
    <row r="51" spans="1:19" ht="18.75">
      <c r="A51" s="43" t="s">
        <v>2</v>
      </c>
      <c r="B51" s="43">
        <v>0</v>
      </c>
      <c r="C51" s="163">
        <f>C44+C46+C47+C48+C50</f>
        <v>462821.18499999994</v>
      </c>
      <c r="D51" s="163">
        <f>D44+D46+D47+D48+D50</f>
        <v>30151.076000000005</v>
      </c>
      <c r="E51" s="163">
        <f>E44+E46+E47+E48+E50</f>
        <v>492972.261</v>
      </c>
      <c r="F51" s="121">
        <f>F44+F46+F47</f>
        <v>110931.59</v>
      </c>
      <c r="G51" s="121">
        <f>G44+G46+G47+G48+G50+G49</f>
        <v>341539.10000000003</v>
      </c>
      <c r="H51" s="121">
        <f>H44+H46+H47+H50+H48</f>
        <v>390977.80000000005</v>
      </c>
      <c r="I51" s="57">
        <f t="shared" si="4"/>
        <v>0.79310304236367579</v>
      </c>
      <c r="J51" s="57">
        <f t="shared" si="5"/>
        <v>3.5244946908270229</v>
      </c>
      <c r="K51" s="121">
        <f>K44+K46+K47+K50+K48</f>
        <v>306433.49999999994</v>
      </c>
      <c r="L51" s="57">
        <f t="shared" si="1"/>
        <v>1.2758977070065778</v>
      </c>
      <c r="M51" s="121">
        <f>M44+M46+M47+M50+M48+M49</f>
        <v>49438.700000000004</v>
      </c>
      <c r="N51" s="121">
        <f>N44+N46+N47+N50+N48</f>
        <v>25144.3</v>
      </c>
      <c r="O51" s="57">
        <f t="shared" si="2"/>
        <v>1.9661990988017166</v>
      </c>
      <c r="P51" s="56">
        <f>P44+P46+P47</f>
        <v>658.30000000000007</v>
      </c>
      <c r="Q51" s="56">
        <f>Q44+Q46+Q47</f>
        <v>1036.8</v>
      </c>
      <c r="R51" s="56">
        <f>R44+R46+R47</f>
        <v>967.7</v>
      </c>
      <c r="S51" s="139"/>
    </row>
    <row r="52" spans="1:19" ht="19.5" customHeight="1">
      <c r="A52" s="3"/>
      <c r="B52" s="3"/>
      <c r="C52" s="3"/>
      <c r="S52" s="168"/>
    </row>
    <row r="53" spans="1:19" ht="20.25">
      <c r="A53" s="3"/>
      <c r="B53" s="3"/>
      <c r="C53" s="3"/>
      <c r="E53" s="139"/>
      <c r="G53" s="131"/>
      <c r="H53" s="139"/>
    </row>
    <row r="54" spans="1:19">
      <c r="A54" s="3"/>
      <c r="B54" s="3"/>
      <c r="C54" s="3"/>
    </row>
    <row r="55" spans="1:19">
      <c r="A55" s="3"/>
      <c r="B55" s="3"/>
      <c r="C55" s="3"/>
      <c r="H55" s="139"/>
    </row>
  </sheetData>
  <mergeCells count="14">
    <mergeCell ref="P2:R2"/>
    <mergeCell ref="K2:L2"/>
    <mergeCell ref="M2:M3"/>
    <mergeCell ref="N2:N3"/>
    <mergeCell ref="O2:O3"/>
    <mergeCell ref="A1:M1"/>
    <mergeCell ref="A2:A3"/>
    <mergeCell ref="B2:B3"/>
    <mergeCell ref="C2:C3"/>
    <mergeCell ref="D2:D3"/>
    <mergeCell ref="E2:E3"/>
    <mergeCell ref="F2:F3"/>
    <mergeCell ref="G2:G3"/>
    <mergeCell ref="H2:J2"/>
  </mergeCells>
  <phoneticPr fontId="0" type="noConversion"/>
  <printOptions horizontalCentered="1"/>
  <pageMargins left="0.39370078740157483" right="0.19685039370078741" top="0.22" bottom="0.19" header="0.51181102362204722" footer="0.51181102362204722"/>
  <pageSetup paperSize="9" scale="56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zoomScaleNormal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R21" sqref="R21"/>
    </sheetView>
  </sheetViews>
  <sheetFormatPr defaultRowHeight="12.75"/>
  <cols>
    <col min="1" max="1" width="43.7109375" customWidth="1"/>
    <col min="2" max="2" width="14.42578125" customWidth="1"/>
    <col min="3" max="3" width="14.28515625" customWidth="1"/>
    <col min="4" max="4" width="15.7109375" customWidth="1"/>
    <col min="5" max="5" width="15.140625" customWidth="1"/>
    <col min="6" max="6" width="10.7109375" hidden="1" customWidth="1"/>
    <col min="7" max="7" width="11.85546875" customWidth="1"/>
    <col min="8" max="8" width="12.140625" customWidth="1"/>
    <col min="9" max="9" width="13.85546875" customWidth="1"/>
    <col min="10" max="10" width="0.140625" customWidth="1"/>
    <col min="11" max="11" width="11.42578125" customWidth="1"/>
    <col min="12" max="12" width="14" customWidth="1"/>
    <col min="13" max="13" width="12.28515625" customWidth="1"/>
    <col min="14" max="14" width="10.5703125" customWidth="1"/>
    <col min="15" max="15" width="13.5703125" customWidth="1"/>
    <col min="16" max="17" width="9.85546875" customWidth="1"/>
    <col min="18" max="18" width="11" customWidth="1"/>
    <col min="19" max="20" width="9.140625" hidden="1" customWidth="1"/>
    <col min="21" max="21" width="0.140625" hidden="1" customWidth="1"/>
    <col min="22" max="22" width="11.28515625" customWidth="1"/>
  </cols>
  <sheetData>
    <row r="1" spans="1:22" ht="15.75">
      <c r="A1" s="26"/>
      <c r="B1" s="48"/>
      <c r="C1" s="194" t="s">
        <v>11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50"/>
      <c r="P1" s="26"/>
      <c r="Q1" s="26"/>
      <c r="R1" s="26"/>
    </row>
    <row r="2" spans="1:22" ht="15.75">
      <c r="A2" s="26"/>
      <c r="B2" s="195" t="s">
        <v>129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22" ht="13.5" customHeight="1" thickBot="1">
      <c r="A3" s="190" t="s">
        <v>3</v>
      </c>
      <c r="B3" s="192" t="s">
        <v>4</v>
      </c>
      <c r="C3" s="189" t="s">
        <v>115</v>
      </c>
      <c r="D3" s="189" t="s">
        <v>24</v>
      </c>
      <c r="E3" s="189" t="s">
        <v>116</v>
      </c>
      <c r="F3" s="189" t="s">
        <v>99</v>
      </c>
      <c r="G3" s="189" t="s">
        <v>122</v>
      </c>
      <c r="H3" s="189" t="s">
        <v>117</v>
      </c>
      <c r="I3" s="189"/>
      <c r="J3" s="189"/>
      <c r="K3" s="189" t="s">
        <v>113</v>
      </c>
      <c r="L3" s="189"/>
      <c r="M3" s="189" t="s">
        <v>126</v>
      </c>
      <c r="N3" s="189" t="s">
        <v>127</v>
      </c>
      <c r="O3" s="189" t="s">
        <v>30</v>
      </c>
      <c r="P3" s="189" t="s">
        <v>9</v>
      </c>
      <c r="Q3" s="189"/>
      <c r="R3" s="189"/>
    </row>
    <row r="4" spans="1:22" ht="111" customHeight="1" thickBot="1">
      <c r="A4" s="191"/>
      <c r="B4" s="193"/>
      <c r="C4" s="189"/>
      <c r="D4" s="189"/>
      <c r="E4" s="189"/>
      <c r="F4" s="189"/>
      <c r="G4" s="189"/>
      <c r="H4" s="185" t="s">
        <v>125</v>
      </c>
      <c r="I4" s="185" t="s">
        <v>10</v>
      </c>
      <c r="J4" s="185" t="s">
        <v>29</v>
      </c>
      <c r="K4" s="185" t="s">
        <v>125</v>
      </c>
      <c r="L4" s="185" t="s">
        <v>30</v>
      </c>
      <c r="M4" s="189"/>
      <c r="N4" s="189"/>
      <c r="O4" s="189"/>
      <c r="P4" s="122" t="s">
        <v>118</v>
      </c>
      <c r="Q4" s="122" t="s">
        <v>123</v>
      </c>
      <c r="R4" s="122" t="s">
        <v>128</v>
      </c>
      <c r="S4" s="1"/>
      <c r="T4" s="1"/>
      <c r="U4" s="2"/>
    </row>
    <row r="5" spans="1:22" ht="21.75" customHeight="1">
      <c r="A5" s="51" t="s">
        <v>21</v>
      </c>
      <c r="B5" s="52"/>
      <c r="C5" s="89">
        <f t="shared" ref="C5:H5" si="0">C6+C15+C17+C22+C10</f>
        <v>9055.2999999999993</v>
      </c>
      <c r="D5" s="89">
        <f t="shared" si="0"/>
        <v>758.39699999999993</v>
      </c>
      <c r="E5" s="89">
        <f t="shared" si="0"/>
        <v>9813.6969999999983</v>
      </c>
      <c r="F5" s="89">
        <f t="shared" si="0"/>
        <v>0</v>
      </c>
      <c r="G5" s="89">
        <f t="shared" si="0"/>
        <v>9079.1999999999989</v>
      </c>
      <c r="H5" s="161">
        <f t="shared" si="0"/>
        <v>10433.299999999999</v>
      </c>
      <c r="I5" s="90">
        <f>IF(E5&gt;0,H5/E5,0)</f>
        <v>1.063136552921901</v>
      </c>
      <c r="J5" s="90">
        <f>IF(F5&gt;0,H5/F5,0)</f>
        <v>0</v>
      </c>
      <c r="K5" s="89">
        <f>K6+K15+K17+K22+K10</f>
        <v>8956.4</v>
      </c>
      <c r="L5" s="90">
        <f t="shared" ref="L5:L48" si="1">IF(K5&gt;0,H5/K5,0)</f>
        <v>1.1648988432852485</v>
      </c>
      <c r="M5" s="89">
        <f>M6+M15+M17+M22+M10</f>
        <v>1354.1</v>
      </c>
      <c r="N5" s="89">
        <f>N6+N15+N17+N22+N10</f>
        <v>1203.5</v>
      </c>
      <c r="O5" s="90">
        <f t="shared" ref="O5:O21" si="2">IF(N5&gt;0,M5/N5,0)</f>
        <v>1.1251350228500208</v>
      </c>
      <c r="P5" s="89">
        <f>P6+P15+P17+P22+P10</f>
        <v>364.7</v>
      </c>
      <c r="Q5" s="89">
        <f>Q6+Q15+Q17+Q22+Q10</f>
        <v>308.39999999999998</v>
      </c>
      <c r="R5" s="89">
        <f>R6+R15+R17+R22+R10</f>
        <v>442.6</v>
      </c>
      <c r="S5" s="4"/>
      <c r="T5" s="4"/>
      <c r="U5" s="4"/>
    </row>
    <row r="6" spans="1:22" ht="18" customHeight="1">
      <c r="A6" s="9" t="s">
        <v>63</v>
      </c>
      <c r="B6" s="53">
        <v>1010200001</v>
      </c>
      <c r="C6" s="72">
        <f t="shared" ref="C6:H6" si="3">C7+C8+C9</f>
        <v>5628</v>
      </c>
      <c r="D6" s="72">
        <f t="shared" si="3"/>
        <v>90.813999999999993</v>
      </c>
      <c r="E6" s="72">
        <f t="shared" si="3"/>
        <v>5718.8139999999994</v>
      </c>
      <c r="F6" s="72">
        <f t="shared" si="3"/>
        <v>0</v>
      </c>
      <c r="G6" s="72">
        <f t="shared" si="3"/>
        <v>5168.7999999999993</v>
      </c>
      <c r="H6" s="72">
        <f t="shared" si="3"/>
        <v>6065.7999999999993</v>
      </c>
      <c r="I6" s="87">
        <f t="shared" ref="I6:I48" si="4">IF(E6&gt;0,H6/E6,0)</f>
        <v>1.0606744685174234</v>
      </c>
      <c r="J6" s="87">
        <f>IF(F6&gt;0,H6/F6,0)</f>
        <v>0</v>
      </c>
      <c r="K6" s="72">
        <f>K7+K8+K9</f>
        <v>5589.5999999999995</v>
      </c>
      <c r="L6" s="87">
        <f t="shared" si="1"/>
        <v>1.0851939315872334</v>
      </c>
      <c r="M6" s="72">
        <f>M7+M8+M9</f>
        <v>897</v>
      </c>
      <c r="N6" s="72">
        <f>N7+N8+N9</f>
        <v>774</v>
      </c>
      <c r="O6" s="87">
        <f t="shared" si="2"/>
        <v>1.1589147286821706</v>
      </c>
      <c r="P6" s="72">
        <f>P7+P8+P9</f>
        <v>2.4</v>
      </c>
      <c r="Q6" s="72">
        <f>Q7+Q8+Q9</f>
        <v>117.3</v>
      </c>
      <c r="R6" s="72">
        <f>R7+R8+R9</f>
        <v>92.9</v>
      </c>
      <c r="V6" s="166"/>
    </row>
    <row r="7" spans="1:22" ht="18">
      <c r="A7" s="10" t="s">
        <v>44</v>
      </c>
      <c r="B7" s="13">
        <v>1010201001</v>
      </c>
      <c r="C7" s="71">
        <v>5589</v>
      </c>
      <c r="D7" s="83">
        <v>35.414000000000001</v>
      </c>
      <c r="E7" s="71">
        <f>C7+D7</f>
        <v>5624.4139999999998</v>
      </c>
      <c r="F7" s="71"/>
      <c r="G7" s="68">
        <v>5074.3999999999996</v>
      </c>
      <c r="H7" s="68">
        <f>G7+M7</f>
        <v>5971.2999999999993</v>
      </c>
      <c r="I7" s="77">
        <f t="shared" si="4"/>
        <v>1.0616750473916037</v>
      </c>
      <c r="J7" s="77">
        <f t="shared" ref="J7:J48" si="5">IF(F7&gt;0,H7/F7,0)</f>
        <v>0</v>
      </c>
      <c r="K7" s="68">
        <v>5526.2</v>
      </c>
      <c r="L7" s="77">
        <f t="shared" si="1"/>
        <v>1.0805435923419346</v>
      </c>
      <c r="M7" s="68">
        <v>896.9</v>
      </c>
      <c r="N7" s="68">
        <v>774.1</v>
      </c>
      <c r="O7" s="77">
        <f t="shared" si="2"/>
        <v>1.1586358351634156</v>
      </c>
      <c r="P7" s="71">
        <v>0.4</v>
      </c>
      <c r="Q7" s="71">
        <v>49.3</v>
      </c>
      <c r="R7" s="71">
        <v>17.399999999999999</v>
      </c>
      <c r="V7" s="166"/>
    </row>
    <row r="8" spans="1:22" ht="18">
      <c r="A8" s="10" t="s">
        <v>43</v>
      </c>
      <c r="B8" s="13">
        <v>1010202001</v>
      </c>
      <c r="C8" s="68">
        <v>18</v>
      </c>
      <c r="D8" s="68">
        <v>33.9</v>
      </c>
      <c r="E8" s="71">
        <f>C8+D8</f>
        <v>51.9</v>
      </c>
      <c r="F8" s="71"/>
      <c r="G8" s="71">
        <v>51.9</v>
      </c>
      <c r="H8" s="68">
        <f>G8+M8</f>
        <v>51.9</v>
      </c>
      <c r="I8" s="77">
        <f t="shared" si="4"/>
        <v>1</v>
      </c>
      <c r="J8" s="77">
        <f t="shared" si="5"/>
        <v>0</v>
      </c>
      <c r="K8" s="71">
        <v>21.5</v>
      </c>
      <c r="L8" s="77">
        <f t="shared" si="1"/>
        <v>2.4139534883720928</v>
      </c>
      <c r="M8" s="71"/>
      <c r="N8" s="71"/>
      <c r="O8" s="77">
        <f>IF(N8&gt;0,M8/N8,0)</f>
        <v>0</v>
      </c>
      <c r="P8" s="71"/>
      <c r="Q8" s="71"/>
      <c r="R8" s="71"/>
      <c r="V8" s="166"/>
    </row>
    <row r="9" spans="1:22" ht="18">
      <c r="A9" s="10" t="s">
        <v>42</v>
      </c>
      <c r="B9" s="13">
        <v>1010203001</v>
      </c>
      <c r="C9" s="68">
        <v>21</v>
      </c>
      <c r="D9" s="71">
        <v>21.5</v>
      </c>
      <c r="E9" s="71">
        <f>C9+D9</f>
        <v>42.5</v>
      </c>
      <c r="F9" s="71"/>
      <c r="G9" s="71">
        <v>42.5</v>
      </c>
      <c r="H9" s="68">
        <f>G9+M9</f>
        <v>42.6</v>
      </c>
      <c r="I9" s="77">
        <f t="shared" si="4"/>
        <v>1.0023529411764707</v>
      </c>
      <c r="J9" s="77">
        <f t="shared" si="5"/>
        <v>0</v>
      </c>
      <c r="K9" s="71">
        <v>41.9</v>
      </c>
      <c r="L9" s="77">
        <f t="shared" si="1"/>
        <v>1.0167064439140812</v>
      </c>
      <c r="M9" s="71">
        <v>0.1</v>
      </c>
      <c r="N9" s="71">
        <v>-0.1</v>
      </c>
      <c r="O9" s="77">
        <f t="shared" si="2"/>
        <v>0</v>
      </c>
      <c r="P9" s="71">
        <v>2</v>
      </c>
      <c r="Q9" s="71">
        <v>68</v>
      </c>
      <c r="R9" s="71">
        <v>75.5</v>
      </c>
      <c r="V9" s="166"/>
    </row>
    <row r="10" spans="1:22" ht="20.25" customHeight="1">
      <c r="A10" s="11" t="s">
        <v>48</v>
      </c>
      <c r="B10" s="19">
        <v>1030200001</v>
      </c>
      <c r="C10" s="72">
        <f t="shared" ref="C10:H10" si="6">SUM(C11:C14)</f>
        <v>1489.3</v>
      </c>
      <c r="D10" s="72">
        <f t="shared" si="6"/>
        <v>0</v>
      </c>
      <c r="E10" s="72">
        <f t="shared" si="6"/>
        <v>1489.3</v>
      </c>
      <c r="F10" s="72">
        <f t="shared" si="6"/>
        <v>0</v>
      </c>
      <c r="G10" s="72">
        <f>G11+G12+G13+G14</f>
        <v>1577.1</v>
      </c>
      <c r="H10" s="72">
        <f t="shared" si="6"/>
        <v>1718.4</v>
      </c>
      <c r="I10" s="87">
        <f>IF(E10&gt;0,H10/E10,0)</f>
        <v>1.1538306586987177</v>
      </c>
      <c r="J10" s="87">
        <f>IF(F10&gt;0,H10/F10,0)</f>
        <v>0</v>
      </c>
      <c r="K10" s="72">
        <f>K11+K12+K13+K14</f>
        <v>1439</v>
      </c>
      <c r="L10" s="87">
        <f t="shared" si="1"/>
        <v>1.1941626129256429</v>
      </c>
      <c r="M10" s="72">
        <f>M11+M12+M13+M14</f>
        <v>141.29999999999998</v>
      </c>
      <c r="N10" s="72">
        <f>N11+N12+N13+N14</f>
        <v>127.69999999999999</v>
      </c>
      <c r="O10" s="87">
        <f t="shared" si="2"/>
        <v>1.1064996084573218</v>
      </c>
      <c r="P10" s="72">
        <f>SUM(P11:P14)</f>
        <v>0</v>
      </c>
      <c r="Q10" s="72">
        <f>SUM(Q11:Q14)</f>
        <v>0</v>
      </c>
      <c r="R10" s="72">
        <f>SUM(R11:R14)</f>
        <v>0</v>
      </c>
      <c r="V10" s="166"/>
    </row>
    <row r="11" spans="1:22" ht="18.75" customHeight="1">
      <c r="A11" s="12" t="s">
        <v>49</v>
      </c>
      <c r="B11" s="12">
        <v>1030223101</v>
      </c>
      <c r="C11" s="71">
        <v>673.4</v>
      </c>
      <c r="D11" s="71"/>
      <c r="E11" s="165">
        <f>C11+D11</f>
        <v>673.4</v>
      </c>
      <c r="F11" s="67"/>
      <c r="G11" s="71">
        <v>788</v>
      </c>
      <c r="H11" s="69">
        <f>G11+M11</f>
        <v>861.4</v>
      </c>
      <c r="I11" s="70">
        <f>IF(E11&gt;0,H11/E11,0)</f>
        <v>1.2791802791802791</v>
      </c>
      <c r="J11" s="70">
        <f>IF(F11&gt;0,H11/F11,0)</f>
        <v>0</v>
      </c>
      <c r="K11" s="71">
        <v>664.3</v>
      </c>
      <c r="L11" s="70">
        <f t="shared" si="1"/>
        <v>1.2967032967032968</v>
      </c>
      <c r="M11" s="71">
        <v>73.400000000000006</v>
      </c>
      <c r="N11" s="71">
        <v>63.3</v>
      </c>
      <c r="O11" s="70">
        <f t="shared" si="2"/>
        <v>1.1595576619273302</v>
      </c>
      <c r="P11" s="71"/>
      <c r="Q11" s="71"/>
      <c r="R11" s="71"/>
      <c r="V11" s="166"/>
    </row>
    <row r="12" spans="1:22" ht="18" customHeight="1">
      <c r="A12" s="12" t="s">
        <v>50</v>
      </c>
      <c r="B12" s="12">
        <v>1030224101</v>
      </c>
      <c r="C12" s="71">
        <v>3.7</v>
      </c>
      <c r="D12" s="71"/>
      <c r="E12" s="165">
        <f>C12+D12</f>
        <v>3.7</v>
      </c>
      <c r="F12" s="67"/>
      <c r="G12" s="71">
        <v>4.4000000000000004</v>
      </c>
      <c r="H12" s="69">
        <f>G12+M12</f>
        <v>4.7</v>
      </c>
      <c r="I12" s="70">
        <f>IF(E12&gt;0,H12/E12,0)</f>
        <v>1.2702702702702702</v>
      </c>
      <c r="J12" s="70">
        <f>IF(F12&gt;0,H12/F12,0)</f>
        <v>0</v>
      </c>
      <c r="K12" s="71">
        <v>4.7</v>
      </c>
      <c r="L12" s="70">
        <f t="shared" si="1"/>
        <v>1</v>
      </c>
      <c r="M12" s="71">
        <v>0.3</v>
      </c>
      <c r="N12" s="71">
        <v>0.4</v>
      </c>
      <c r="O12" s="70">
        <f t="shared" si="2"/>
        <v>0.74999999999999989</v>
      </c>
      <c r="P12" s="71"/>
      <c r="Q12" s="71"/>
      <c r="R12" s="71"/>
      <c r="V12" s="166"/>
    </row>
    <row r="13" spans="1:22" ht="18.75" customHeight="1">
      <c r="A13" s="12" t="s">
        <v>51</v>
      </c>
      <c r="B13" s="12">
        <v>1030225101</v>
      </c>
      <c r="C13" s="71">
        <v>896.6</v>
      </c>
      <c r="D13" s="71"/>
      <c r="E13" s="165">
        <f>C13+D13</f>
        <v>896.6</v>
      </c>
      <c r="F13" s="67"/>
      <c r="G13" s="71">
        <v>877.1</v>
      </c>
      <c r="H13" s="69">
        <f>G13+M13</f>
        <v>951.1</v>
      </c>
      <c r="I13" s="70">
        <f>IF(E13&gt;0,H13/E13,0)</f>
        <v>1.0607851884898505</v>
      </c>
      <c r="J13" s="70">
        <f>IF(F13&gt;0,H13/F13,0)</f>
        <v>0</v>
      </c>
      <c r="K13" s="71">
        <v>883.3</v>
      </c>
      <c r="L13" s="70">
        <f t="shared" si="1"/>
        <v>1.0767576134948489</v>
      </c>
      <c r="M13" s="71">
        <v>74</v>
      </c>
      <c r="N13" s="71">
        <v>75.5</v>
      </c>
      <c r="O13" s="70">
        <f t="shared" si="2"/>
        <v>0.98013245033112584</v>
      </c>
      <c r="P13" s="71"/>
      <c r="Q13" s="71"/>
      <c r="R13" s="71"/>
      <c r="V13" s="166"/>
    </row>
    <row r="14" spans="1:22" ht="18" customHeight="1">
      <c r="A14" s="12" t="s">
        <v>52</v>
      </c>
      <c r="B14" s="12">
        <v>1030226101</v>
      </c>
      <c r="C14" s="71">
        <v>-84.4</v>
      </c>
      <c r="D14" s="71"/>
      <c r="E14" s="165">
        <f>C14+D14</f>
        <v>-84.4</v>
      </c>
      <c r="F14" s="67"/>
      <c r="G14" s="71">
        <v>-92.4</v>
      </c>
      <c r="H14" s="69">
        <f>G14+M14</f>
        <v>-98.800000000000011</v>
      </c>
      <c r="I14" s="70">
        <f>H14/E14</f>
        <v>1.1706161137440758</v>
      </c>
      <c r="J14" s="70">
        <f>IF(F14&gt;0,H14/F14,0)</f>
        <v>0</v>
      </c>
      <c r="K14" s="71">
        <v>-113.3</v>
      </c>
      <c r="L14" s="70">
        <f t="shared" si="1"/>
        <v>0</v>
      </c>
      <c r="M14" s="71">
        <v>-6.4</v>
      </c>
      <c r="N14" s="71">
        <v>-11.5</v>
      </c>
      <c r="O14" s="70">
        <f t="shared" si="2"/>
        <v>0</v>
      </c>
      <c r="P14" s="71"/>
      <c r="Q14" s="71"/>
      <c r="R14" s="71"/>
      <c r="V14" s="166"/>
    </row>
    <row r="15" spans="1:22" ht="18">
      <c r="A15" s="9" t="s">
        <v>70</v>
      </c>
      <c r="B15" s="30">
        <v>1050000000</v>
      </c>
      <c r="C15" s="72">
        <f t="shared" ref="C15:H15" si="7">C16</f>
        <v>22</v>
      </c>
      <c r="D15" s="73">
        <f t="shared" si="7"/>
        <v>401.18299999999999</v>
      </c>
      <c r="E15" s="73">
        <f t="shared" si="7"/>
        <v>423.18299999999999</v>
      </c>
      <c r="F15" s="73">
        <f t="shared" si="7"/>
        <v>0</v>
      </c>
      <c r="G15" s="72">
        <f>G16</f>
        <v>423.2</v>
      </c>
      <c r="H15" s="73">
        <f t="shared" si="7"/>
        <v>423.2</v>
      </c>
      <c r="I15" s="66">
        <f t="shared" si="4"/>
        <v>1.0000401717460294</v>
      </c>
      <c r="J15" s="66">
        <f t="shared" si="5"/>
        <v>0</v>
      </c>
      <c r="K15" s="72">
        <f>K16</f>
        <v>-0.3</v>
      </c>
      <c r="L15" s="66">
        <f t="shared" si="1"/>
        <v>0</v>
      </c>
      <c r="M15" s="72">
        <f>M16</f>
        <v>0</v>
      </c>
      <c r="N15" s="72">
        <f>N16</f>
        <v>0</v>
      </c>
      <c r="O15" s="66">
        <f t="shared" si="2"/>
        <v>0</v>
      </c>
      <c r="P15" s="72">
        <f>P16</f>
        <v>0</v>
      </c>
      <c r="Q15" s="72">
        <f>Q16</f>
        <v>0</v>
      </c>
      <c r="R15" s="72">
        <f>R16</f>
        <v>0</v>
      </c>
      <c r="V15" s="166"/>
    </row>
    <row r="16" spans="1:22" ht="18">
      <c r="A16" s="13" t="s">
        <v>7</v>
      </c>
      <c r="B16" s="13">
        <v>1050300001</v>
      </c>
      <c r="C16" s="71">
        <v>22</v>
      </c>
      <c r="D16" s="83">
        <f>270+150-18.817</f>
        <v>401.18299999999999</v>
      </c>
      <c r="E16" s="67">
        <f>C16+D16</f>
        <v>423.18299999999999</v>
      </c>
      <c r="F16" s="67"/>
      <c r="G16" s="71">
        <v>423.2</v>
      </c>
      <c r="H16" s="69">
        <f>G16+M16</f>
        <v>423.2</v>
      </c>
      <c r="I16" s="70">
        <f t="shared" si="4"/>
        <v>1.0000401717460294</v>
      </c>
      <c r="J16" s="70">
        <f t="shared" si="5"/>
        <v>0</v>
      </c>
      <c r="K16" s="71">
        <v>-0.3</v>
      </c>
      <c r="L16" s="70">
        <f t="shared" si="1"/>
        <v>0</v>
      </c>
      <c r="M16" s="71"/>
      <c r="N16" s="71"/>
      <c r="O16" s="70">
        <f t="shared" si="2"/>
        <v>0</v>
      </c>
      <c r="P16" s="71"/>
      <c r="Q16" s="71"/>
      <c r="R16" s="71"/>
      <c r="V16" s="166"/>
    </row>
    <row r="17" spans="1:22" ht="18">
      <c r="A17" s="9" t="s">
        <v>71</v>
      </c>
      <c r="B17" s="30">
        <v>1060000000</v>
      </c>
      <c r="C17" s="72">
        <f t="shared" ref="C17:H17" si="8">C18+C21</f>
        <v>1916</v>
      </c>
      <c r="D17" s="73">
        <f t="shared" si="8"/>
        <v>266.39999999999998</v>
      </c>
      <c r="E17" s="128">
        <f t="shared" si="8"/>
        <v>2182.4</v>
      </c>
      <c r="F17" s="73">
        <f t="shared" si="8"/>
        <v>0</v>
      </c>
      <c r="G17" s="73">
        <f>G18+G21</f>
        <v>1910.1000000000001</v>
      </c>
      <c r="H17" s="73">
        <f t="shared" si="8"/>
        <v>2225.9</v>
      </c>
      <c r="I17" s="66">
        <f t="shared" si="4"/>
        <v>1.0199321847507332</v>
      </c>
      <c r="J17" s="66">
        <f t="shared" si="5"/>
        <v>0</v>
      </c>
      <c r="K17" s="73">
        <f>K18+K21</f>
        <v>1928.1</v>
      </c>
      <c r="L17" s="66">
        <f t="shared" si="1"/>
        <v>1.1544525698874541</v>
      </c>
      <c r="M17" s="73">
        <f>M18+M21</f>
        <v>315.79999999999995</v>
      </c>
      <c r="N17" s="73">
        <f>N18+N21</f>
        <v>301.79999999999995</v>
      </c>
      <c r="O17" s="66">
        <f t="shared" si="2"/>
        <v>1.0463883366467859</v>
      </c>
      <c r="P17" s="72">
        <f>P18+P21</f>
        <v>362.3</v>
      </c>
      <c r="Q17" s="72">
        <f>Q18+Q21</f>
        <v>191.1</v>
      </c>
      <c r="R17" s="72">
        <f>R18+R21</f>
        <v>349.70000000000005</v>
      </c>
      <c r="V17" s="166"/>
    </row>
    <row r="18" spans="1:22" ht="18">
      <c r="A18" s="13" t="s">
        <v>13</v>
      </c>
      <c r="B18" s="13">
        <v>1060600000</v>
      </c>
      <c r="C18" s="68">
        <f t="shared" ref="C18:H18" si="9">C19+C20</f>
        <v>1122</v>
      </c>
      <c r="D18" s="68">
        <f t="shared" si="9"/>
        <v>123.19999999999999</v>
      </c>
      <c r="E18" s="68">
        <f t="shared" si="9"/>
        <v>1245.2</v>
      </c>
      <c r="F18" s="68">
        <f t="shared" si="9"/>
        <v>0</v>
      </c>
      <c r="G18" s="74">
        <f>G19+G20</f>
        <v>1149.9000000000001</v>
      </c>
      <c r="H18" s="68">
        <f t="shared" si="9"/>
        <v>1261.5</v>
      </c>
      <c r="I18" s="70">
        <f t="shared" si="4"/>
        <v>1.0130902666238355</v>
      </c>
      <c r="J18" s="70">
        <f t="shared" si="5"/>
        <v>0</v>
      </c>
      <c r="K18" s="74">
        <f>K19+K20</f>
        <v>1015.9</v>
      </c>
      <c r="L18" s="70">
        <f t="shared" si="1"/>
        <v>1.2417560783541688</v>
      </c>
      <c r="M18" s="74">
        <f>M19+M20</f>
        <v>111.6</v>
      </c>
      <c r="N18" s="74">
        <f>N19+N20</f>
        <v>114.1</v>
      </c>
      <c r="O18" s="70">
        <f t="shared" si="2"/>
        <v>0.97808939526730942</v>
      </c>
      <c r="P18" s="71">
        <f>P19+P20</f>
        <v>130.4</v>
      </c>
      <c r="Q18" s="71">
        <f>Q19+Q20</f>
        <v>83</v>
      </c>
      <c r="R18" s="71">
        <f>R19+R20</f>
        <v>133.9</v>
      </c>
      <c r="V18" s="166"/>
    </row>
    <row r="19" spans="1:22" ht="18">
      <c r="A19" s="13" t="s">
        <v>100</v>
      </c>
      <c r="B19" s="13">
        <v>1060603313</v>
      </c>
      <c r="C19" s="71">
        <v>562</v>
      </c>
      <c r="D19" s="68">
        <f>173+50.2</f>
        <v>223.2</v>
      </c>
      <c r="E19" s="69">
        <f>C19+D19</f>
        <v>785.2</v>
      </c>
      <c r="F19" s="67"/>
      <c r="G19" s="71">
        <v>769.5</v>
      </c>
      <c r="H19" s="69">
        <f>G19+M19</f>
        <v>796.8</v>
      </c>
      <c r="I19" s="70">
        <f t="shared" si="4"/>
        <v>1.0147733061640345</v>
      </c>
      <c r="J19" s="70">
        <f t="shared" si="5"/>
        <v>0</v>
      </c>
      <c r="K19" s="71">
        <v>415.5</v>
      </c>
      <c r="L19" s="70">
        <f t="shared" si="1"/>
        <v>1.9176895306859205</v>
      </c>
      <c r="M19" s="71">
        <v>27.3</v>
      </c>
      <c r="N19" s="71">
        <v>23.3</v>
      </c>
      <c r="O19" s="70">
        <f t="shared" si="2"/>
        <v>1.1716738197424892</v>
      </c>
      <c r="P19" s="71"/>
      <c r="Q19" s="71">
        <v>0.3</v>
      </c>
      <c r="R19" s="71">
        <v>0.3</v>
      </c>
      <c r="V19" s="166"/>
    </row>
    <row r="20" spans="1:22" ht="18">
      <c r="A20" s="13" t="s">
        <v>101</v>
      </c>
      <c r="B20" s="13">
        <v>1060604313</v>
      </c>
      <c r="C20" s="71">
        <v>560</v>
      </c>
      <c r="D20" s="68">
        <v>-100</v>
      </c>
      <c r="E20" s="69">
        <f>C20+D20</f>
        <v>460</v>
      </c>
      <c r="F20" s="67"/>
      <c r="G20" s="71">
        <v>380.4</v>
      </c>
      <c r="H20" s="69">
        <f>G20+M20</f>
        <v>464.7</v>
      </c>
      <c r="I20" s="70">
        <f t="shared" si="4"/>
        <v>1.0102173913043477</v>
      </c>
      <c r="J20" s="70">
        <f t="shared" si="5"/>
        <v>0</v>
      </c>
      <c r="K20" s="71">
        <v>600.4</v>
      </c>
      <c r="L20" s="70">
        <f t="shared" si="1"/>
        <v>0.77398401065956035</v>
      </c>
      <c r="M20" s="71">
        <v>84.3</v>
      </c>
      <c r="N20" s="71">
        <v>90.8</v>
      </c>
      <c r="O20" s="70">
        <f t="shared" si="2"/>
        <v>0.9284140969162995</v>
      </c>
      <c r="P20" s="71">
        <v>130.4</v>
      </c>
      <c r="Q20" s="71">
        <v>82.7</v>
      </c>
      <c r="R20" s="71">
        <v>133.6</v>
      </c>
      <c r="V20" s="166"/>
    </row>
    <row r="21" spans="1:22" ht="18">
      <c r="A21" s="13" t="s">
        <v>12</v>
      </c>
      <c r="B21" s="13">
        <v>1060103013</v>
      </c>
      <c r="C21" s="71">
        <v>794</v>
      </c>
      <c r="D21" s="68">
        <v>143.19999999999999</v>
      </c>
      <c r="E21" s="69">
        <f>C21+D21</f>
        <v>937.2</v>
      </c>
      <c r="F21" s="67"/>
      <c r="G21" s="71">
        <v>760.2</v>
      </c>
      <c r="H21" s="69">
        <f>G21+M21</f>
        <v>964.40000000000009</v>
      </c>
      <c r="I21" s="70">
        <f t="shared" si="4"/>
        <v>1.0290226205719164</v>
      </c>
      <c r="J21" s="70">
        <f t="shared" si="5"/>
        <v>0</v>
      </c>
      <c r="K21" s="71">
        <v>912.2</v>
      </c>
      <c r="L21" s="70">
        <f t="shared" si="1"/>
        <v>1.0572242929182198</v>
      </c>
      <c r="M21" s="71">
        <v>204.2</v>
      </c>
      <c r="N21" s="71">
        <v>187.7</v>
      </c>
      <c r="O21" s="70">
        <f t="shared" si="2"/>
        <v>1.0879062333510923</v>
      </c>
      <c r="P21" s="71">
        <v>231.9</v>
      </c>
      <c r="Q21" s="71">
        <v>108.1</v>
      </c>
      <c r="R21" s="71">
        <v>215.8</v>
      </c>
      <c r="V21" s="166"/>
    </row>
    <row r="22" spans="1:22" ht="1.5" customHeight="1">
      <c r="A22" s="9" t="s">
        <v>73</v>
      </c>
      <c r="B22" s="30">
        <v>1090405010</v>
      </c>
      <c r="C22" s="72"/>
      <c r="D22" s="73"/>
      <c r="E22" s="65">
        <f>C22+D22</f>
        <v>0</v>
      </c>
      <c r="F22" s="65"/>
      <c r="G22" s="72"/>
      <c r="H22" s="75">
        <f>G22+M22</f>
        <v>0</v>
      </c>
      <c r="I22" s="66">
        <f t="shared" si="4"/>
        <v>0</v>
      </c>
      <c r="J22" s="66">
        <f t="shared" si="5"/>
        <v>0</v>
      </c>
      <c r="K22" s="72"/>
      <c r="L22" s="66">
        <f t="shared" si="1"/>
        <v>0</v>
      </c>
      <c r="M22" s="72"/>
      <c r="N22" s="72"/>
      <c r="O22" s="66">
        <f t="shared" ref="O22:O37" si="10">IF(N22&gt;0,M22/N22,0)</f>
        <v>0</v>
      </c>
      <c r="P22" s="72"/>
      <c r="Q22" s="72"/>
      <c r="R22" s="72"/>
      <c r="V22" s="166"/>
    </row>
    <row r="23" spans="1:22" ht="18">
      <c r="A23" s="14" t="s">
        <v>22</v>
      </c>
      <c r="B23" s="32"/>
      <c r="C23" s="76">
        <f>C24+C30+C33+C37+C38</f>
        <v>2674</v>
      </c>
      <c r="D23" s="76">
        <f>D24+D30+D33+D37+D38</f>
        <v>168.89600000000007</v>
      </c>
      <c r="E23" s="76">
        <f>E24+E32+E35+E38+E37+E34+E31+E36</f>
        <v>2842.8959999999997</v>
      </c>
      <c r="F23" s="76">
        <f>F24+F32+F35+F38+F37+F34+F31+F36</f>
        <v>0</v>
      </c>
      <c r="G23" s="76">
        <f>G24+G30+G33+G37+G38</f>
        <v>2825</v>
      </c>
      <c r="H23" s="76">
        <f>H24+H32+H35+H38+H37+H34+H31+H36</f>
        <v>2850.1000000000004</v>
      </c>
      <c r="I23" s="64">
        <f t="shared" si="4"/>
        <v>1.0025340357156929</v>
      </c>
      <c r="J23" s="64">
        <f t="shared" si="5"/>
        <v>0</v>
      </c>
      <c r="K23" s="76">
        <f>K24+K30+K33+K37+K38</f>
        <v>2439.8000000000002</v>
      </c>
      <c r="L23" s="64">
        <f t="shared" si="1"/>
        <v>1.1681695220919748</v>
      </c>
      <c r="M23" s="76">
        <f>M24+M30+M33+M37+M38</f>
        <v>25.100000000000023</v>
      </c>
      <c r="N23" s="76">
        <f>N24+N30+N33+N37+N38</f>
        <v>265.89999999999998</v>
      </c>
      <c r="O23" s="64">
        <f t="shared" si="10"/>
        <v>9.4396389620158047E-2</v>
      </c>
      <c r="P23" s="86">
        <f>P24+P31+P34+P37+P36+P33</f>
        <v>123</v>
      </c>
      <c r="Q23" s="76">
        <f>Q24+Q31+Q34+Q37+Q36+Q33</f>
        <v>309.89999999999998</v>
      </c>
      <c r="R23" s="76">
        <f>R24+R31+R34+R37+R36+R33</f>
        <v>235.9</v>
      </c>
      <c r="V23" s="166"/>
    </row>
    <row r="24" spans="1:22" ht="18">
      <c r="A24" s="9" t="s">
        <v>74</v>
      </c>
      <c r="B24" s="30">
        <v>1110000000</v>
      </c>
      <c r="C24" s="72">
        <f t="shared" ref="C24:H24" si="11">C25+C28+C29+C26+C27</f>
        <v>1827</v>
      </c>
      <c r="D24" s="72">
        <f t="shared" si="11"/>
        <v>-79.301000000000002</v>
      </c>
      <c r="E24" s="72">
        <f t="shared" si="11"/>
        <v>1747.6990000000001</v>
      </c>
      <c r="F24" s="72">
        <f t="shared" si="11"/>
        <v>0</v>
      </c>
      <c r="G24" s="72">
        <f>G25+G28+G29+G26+G27</f>
        <v>1600.3000000000002</v>
      </c>
      <c r="H24" s="72">
        <f t="shared" si="11"/>
        <v>1749</v>
      </c>
      <c r="I24" s="66">
        <f t="shared" si="4"/>
        <v>1.0007444073607641</v>
      </c>
      <c r="J24" s="66">
        <f t="shared" si="5"/>
        <v>0</v>
      </c>
      <c r="K24" s="72">
        <f>K25+K28+K29+K26+K27</f>
        <v>1543.7000000000003</v>
      </c>
      <c r="L24" s="66">
        <f t="shared" si="1"/>
        <v>1.1329921616894472</v>
      </c>
      <c r="M24" s="72">
        <f>M25+M28+M29+M26+M27</f>
        <v>148.70000000000002</v>
      </c>
      <c r="N24" s="72">
        <f>N25+N28+N29+N26+N27</f>
        <v>176.5</v>
      </c>
      <c r="O24" s="66">
        <f t="shared" si="10"/>
        <v>0.84249291784702562</v>
      </c>
      <c r="P24" s="73">
        <f>P25+P27+P28</f>
        <v>123</v>
      </c>
      <c r="Q24" s="72">
        <f>Q25+Q27+Q28</f>
        <v>309.89999999999998</v>
      </c>
      <c r="R24" s="72">
        <f>R25+R27+R28</f>
        <v>235.9</v>
      </c>
      <c r="V24" s="166"/>
    </row>
    <row r="25" spans="1:22" ht="18.75">
      <c r="A25" s="54" t="s">
        <v>97</v>
      </c>
      <c r="B25" s="13">
        <v>1110501313</v>
      </c>
      <c r="C25" s="71">
        <v>960</v>
      </c>
      <c r="D25" s="68">
        <v>-48</v>
      </c>
      <c r="E25" s="165">
        <f t="shared" ref="E25:E34" si="12">C25+D25</f>
        <v>912</v>
      </c>
      <c r="F25" s="67"/>
      <c r="G25" s="71">
        <v>835.2</v>
      </c>
      <c r="H25" s="69">
        <f t="shared" ref="H25:H37" si="13">G25+M25</f>
        <v>908.7</v>
      </c>
      <c r="I25" s="70">
        <f t="shared" si="4"/>
        <v>0.99638157894736845</v>
      </c>
      <c r="J25" s="70">
        <f t="shared" si="5"/>
        <v>0</v>
      </c>
      <c r="K25" s="71">
        <v>736.6</v>
      </c>
      <c r="L25" s="70">
        <f t="shared" si="1"/>
        <v>1.2336410534890037</v>
      </c>
      <c r="M25" s="71">
        <v>73.5</v>
      </c>
      <c r="N25" s="71">
        <v>86.5</v>
      </c>
      <c r="O25" s="70">
        <f t="shared" si="10"/>
        <v>0.8497109826589595</v>
      </c>
      <c r="P25" s="182">
        <v>123</v>
      </c>
      <c r="Q25" s="61">
        <v>309.89999999999998</v>
      </c>
      <c r="R25" s="61">
        <v>235.9</v>
      </c>
      <c r="V25" s="166"/>
    </row>
    <row r="26" spans="1:22" ht="18.75">
      <c r="A26" s="13" t="s">
        <v>98</v>
      </c>
      <c r="B26" s="13">
        <v>1110502513</v>
      </c>
      <c r="C26" s="71">
        <v>27</v>
      </c>
      <c r="D26" s="83">
        <v>-21.501000000000001</v>
      </c>
      <c r="E26" s="67">
        <f t="shared" si="12"/>
        <v>5.4989999999999988</v>
      </c>
      <c r="F26" s="67"/>
      <c r="G26" s="71">
        <v>4.5999999999999996</v>
      </c>
      <c r="H26" s="69">
        <f>G26+M26</f>
        <v>5.5</v>
      </c>
      <c r="I26" s="70">
        <f>IF(E26&gt;0,H26/E26,0)</f>
        <v>1.0001818512456813</v>
      </c>
      <c r="J26" s="70"/>
      <c r="K26" s="71">
        <v>18.7</v>
      </c>
      <c r="L26" s="70">
        <f t="shared" si="1"/>
        <v>0.29411764705882354</v>
      </c>
      <c r="M26" s="71">
        <v>0.9</v>
      </c>
      <c r="N26" s="71">
        <v>13.6</v>
      </c>
      <c r="O26" s="70">
        <f t="shared" si="10"/>
        <v>6.6176470588235295E-2</v>
      </c>
      <c r="P26" s="61"/>
      <c r="Q26" s="61"/>
      <c r="R26" s="61"/>
      <c r="V26" s="166"/>
    </row>
    <row r="27" spans="1:22" ht="18.75">
      <c r="A27" s="13" t="s">
        <v>110</v>
      </c>
      <c r="B27" s="13">
        <v>1110507513</v>
      </c>
      <c r="C27" s="71">
        <v>330</v>
      </c>
      <c r="D27" s="83">
        <v>40.200000000000003</v>
      </c>
      <c r="E27" s="67">
        <f t="shared" si="12"/>
        <v>370.2</v>
      </c>
      <c r="F27" s="67"/>
      <c r="G27" s="71">
        <v>339.9</v>
      </c>
      <c r="H27" s="69">
        <f>G27+M27</f>
        <v>370.29999999999995</v>
      </c>
      <c r="I27" s="70">
        <f>IF(E27&gt;0,H27/E27,0)</f>
        <v>1.0002701242571581</v>
      </c>
      <c r="J27" s="70"/>
      <c r="K27" s="71">
        <v>328.6</v>
      </c>
      <c r="L27" s="70"/>
      <c r="M27" s="71">
        <v>30.4</v>
      </c>
      <c r="N27" s="71">
        <v>29.3</v>
      </c>
      <c r="O27" s="70"/>
      <c r="P27" s="61"/>
      <c r="Q27" s="61"/>
      <c r="R27" s="61"/>
      <c r="V27" s="166"/>
    </row>
    <row r="28" spans="1:22" ht="18">
      <c r="A28" s="13" t="s">
        <v>23</v>
      </c>
      <c r="B28" s="13">
        <v>1110904513</v>
      </c>
      <c r="C28" s="71">
        <v>510</v>
      </c>
      <c r="D28" s="83">
        <v>-50</v>
      </c>
      <c r="E28" s="67">
        <f t="shared" si="12"/>
        <v>460</v>
      </c>
      <c r="F28" s="67"/>
      <c r="G28" s="71">
        <v>420.6</v>
      </c>
      <c r="H28" s="69">
        <f t="shared" si="13"/>
        <v>464.5</v>
      </c>
      <c r="I28" s="70">
        <f t="shared" si="4"/>
        <v>1.0097826086956523</v>
      </c>
      <c r="J28" s="70">
        <f t="shared" si="5"/>
        <v>0</v>
      </c>
      <c r="K28" s="71">
        <v>459.8</v>
      </c>
      <c r="L28" s="70">
        <f t="shared" si="1"/>
        <v>1.0102218355806871</v>
      </c>
      <c r="M28" s="71">
        <v>43.9</v>
      </c>
      <c r="N28" s="71">
        <v>47.1</v>
      </c>
      <c r="O28" s="70">
        <f t="shared" si="10"/>
        <v>0.93205944798301477</v>
      </c>
      <c r="P28" s="71"/>
      <c r="Q28" s="71"/>
      <c r="R28" s="71"/>
      <c r="V28" s="166"/>
    </row>
    <row r="29" spans="1:22" ht="10.5" hidden="1" customHeight="1">
      <c r="A29" s="31" t="s">
        <v>18</v>
      </c>
      <c r="B29" s="13">
        <v>1110903513</v>
      </c>
      <c r="C29" s="71"/>
      <c r="D29" s="71"/>
      <c r="E29" s="67">
        <f t="shared" si="12"/>
        <v>0</v>
      </c>
      <c r="F29" s="67"/>
      <c r="G29" s="71"/>
      <c r="H29" s="69">
        <f t="shared" si="13"/>
        <v>0</v>
      </c>
      <c r="I29" s="70">
        <f t="shared" si="4"/>
        <v>0</v>
      </c>
      <c r="J29" s="70">
        <f t="shared" si="5"/>
        <v>0</v>
      </c>
      <c r="K29" s="71"/>
      <c r="L29" s="70">
        <f t="shared" si="1"/>
        <v>0</v>
      </c>
      <c r="M29" s="71"/>
      <c r="N29" s="71"/>
      <c r="O29" s="70">
        <f t="shared" si="10"/>
        <v>0</v>
      </c>
      <c r="P29" s="71"/>
      <c r="Q29" s="71"/>
      <c r="R29" s="71"/>
      <c r="V29" s="166"/>
    </row>
    <row r="30" spans="1:22" ht="18.75">
      <c r="A30" s="145" t="s">
        <v>66</v>
      </c>
      <c r="B30" s="147">
        <v>1130000000</v>
      </c>
      <c r="C30" s="132">
        <f>C31+C32</f>
        <v>27</v>
      </c>
      <c r="D30" s="132">
        <f>D31+D32</f>
        <v>0</v>
      </c>
      <c r="E30" s="133">
        <f>C30+D30</f>
        <v>27</v>
      </c>
      <c r="F30" s="133"/>
      <c r="G30" s="132">
        <f>G31+G32</f>
        <v>23.4</v>
      </c>
      <c r="H30" s="146">
        <f t="shared" si="13"/>
        <v>31</v>
      </c>
      <c r="I30" s="134">
        <f t="shared" si="4"/>
        <v>1.1481481481481481</v>
      </c>
      <c r="J30" s="134"/>
      <c r="K30" s="132">
        <f>K31+K32</f>
        <v>5.5</v>
      </c>
      <c r="L30" s="134">
        <f t="shared" si="1"/>
        <v>5.6363636363636367</v>
      </c>
      <c r="M30" s="132">
        <f>M31+M32</f>
        <v>7.6</v>
      </c>
      <c r="N30" s="132">
        <f>N31+N32</f>
        <v>1.8</v>
      </c>
      <c r="O30" s="134">
        <f t="shared" si="10"/>
        <v>4.2222222222222223</v>
      </c>
      <c r="P30" s="132">
        <f>P31+P32</f>
        <v>0</v>
      </c>
      <c r="Q30" s="132">
        <f>Q31+Q32</f>
        <v>0</v>
      </c>
      <c r="R30" s="132">
        <f>R31+R32</f>
        <v>0</v>
      </c>
      <c r="V30" s="166"/>
    </row>
    <row r="31" spans="1:22" ht="18">
      <c r="A31" s="45" t="s">
        <v>103</v>
      </c>
      <c r="B31" s="15">
        <v>1130206513</v>
      </c>
      <c r="C31" s="141">
        <v>27</v>
      </c>
      <c r="D31" s="141"/>
      <c r="E31" s="142">
        <f t="shared" si="12"/>
        <v>27</v>
      </c>
      <c r="F31" s="142"/>
      <c r="G31" s="141">
        <v>23.4</v>
      </c>
      <c r="H31" s="143">
        <f t="shared" si="13"/>
        <v>31</v>
      </c>
      <c r="I31" s="144">
        <f t="shared" si="4"/>
        <v>1.1481481481481481</v>
      </c>
      <c r="J31" s="144"/>
      <c r="K31" s="141">
        <v>1.8</v>
      </c>
      <c r="L31" s="144">
        <f t="shared" si="1"/>
        <v>17.222222222222221</v>
      </c>
      <c r="M31" s="141">
        <v>7.6</v>
      </c>
      <c r="N31" s="141">
        <v>1.8</v>
      </c>
      <c r="O31" s="144">
        <f t="shared" si="10"/>
        <v>4.2222222222222223</v>
      </c>
      <c r="P31" s="141"/>
      <c r="Q31" s="141"/>
      <c r="R31" s="141"/>
      <c r="V31" s="166"/>
    </row>
    <row r="32" spans="1:22" ht="18">
      <c r="A32" s="15" t="s">
        <v>38</v>
      </c>
      <c r="B32" s="15">
        <v>1130299513</v>
      </c>
      <c r="C32" s="141"/>
      <c r="D32" s="141"/>
      <c r="E32" s="142">
        <f t="shared" si="12"/>
        <v>0</v>
      </c>
      <c r="F32" s="142"/>
      <c r="G32" s="141"/>
      <c r="H32" s="143">
        <f t="shared" si="13"/>
        <v>0</v>
      </c>
      <c r="I32" s="144">
        <f t="shared" si="4"/>
        <v>0</v>
      </c>
      <c r="J32" s="144">
        <f t="shared" si="5"/>
        <v>0</v>
      </c>
      <c r="K32" s="141">
        <v>3.7</v>
      </c>
      <c r="L32" s="144">
        <f t="shared" si="1"/>
        <v>0</v>
      </c>
      <c r="M32" s="141"/>
      <c r="N32" s="141"/>
      <c r="O32" s="144">
        <f t="shared" si="10"/>
        <v>0</v>
      </c>
      <c r="P32" s="141"/>
      <c r="Q32" s="141"/>
      <c r="R32" s="141"/>
      <c r="V32" s="166"/>
    </row>
    <row r="33" spans="1:22" ht="18.75">
      <c r="A33" s="145" t="s">
        <v>67</v>
      </c>
      <c r="B33" s="147">
        <v>1140000000</v>
      </c>
      <c r="C33" s="150">
        <f>C34+C35+C36</f>
        <v>800</v>
      </c>
      <c r="D33" s="150">
        <f>D34+D35+D36</f>
        <v>-386.22800000000001</v>
      </c>
      <c r="E33" s="133">
        <f t="shared" si="12"/>
        <v>413.77199999999999</v>
      </c>
      <c r="F33" s="133"/>
      <c r="G33" s="150">
        <f>G34+G35+G36</f>
        <v>545.5</v>
      </c>
      <c r="H33" s="146">
        <f t="shared" si="13"/>
        <v>413.8</v>
      </c>
      <c r="I33" s="134">
        <f>IF(E33&gt;0,H33/E33,0)</f>
        <v>1.0000676701178428</v>
      </c>
      <c r="J33" s="134"/>
      <c r="K33" s="150">
        <f>K34+K35+K36</f>
        <v>878.4</v>
      </c>
      <c r="L33" s="134">
        <f>IF(K33&gt;0,H33/K33,0)</f>
        <v>0.47108378870673956</v>
      </c>
      <c r="M33" s="150">
        <f>M34+M35+M36</f>
        <v>-131.69999999999999</v>
      </c>
      <c r="N33" s="150">
        <f>N34+N35+N36</f>
        <v>87.1</v>
      </c>
      <c r="O33" s="134">
        <f t="shared" si="10"/>
        <v>-1.5120551090700345</v>
      </c>
      <c r="P33" s="150">
        <f>P34+P35+P36</f>
        <v>0</v>
      </c>
      <c r="Q33" s="150">
        <f>Q34+Q35+Q36</f>
        <v>0</v>
      </c>
      <c r="R33" s="150">
        <f>R34+R35+R36</f>
        <v>0</v>
      </c>
      <c r="V33" s="166"/>
    </row>
    <row r="34" spans="1:22" ht="18">
      <c r="A34" s="15" t="s">
        <v>75</v>
      </c>
      <c r="B34" s="15">
        <v>1140205313</v>
      </c>
      <c r="C34" s="141">
        <v>300</v>
      </c>
      <c r="D34" s="141">
        <v>-43.625</v>
      </c>
      <c r="E34" s="142">
        <f t="shared" si="12"/>
        <v>256.375</v>
      </c>
      <c r="F34" s="142"/>
      <c r="G34" s="141">
        <v>256.39999999999998</v>
      </c>
      <c r="H34" s="143">
        <f t="shared" si="13"/>
        <v>256.39999999999998</v>
      </c>
      <c r="I34" s="144">
        <f>IF(E34&gt;0,H34/E34,0)</f>
        <v>1.0000975134080936</v>
      </c>
      <c r="J34" s="144">
        <f>IF(F34&gt;0,H34/F34,0)</f>
        <v>0</v>
      </c>
      <c r="K34" s="141"/>
      <c r="L34" s="144">
        <f>IF(K34&gt;0,H34/K34,0)</f>
        <v>0</v>
      </c>
      <c r="M34" s="141"/>
      <c r="N34" s="141"/>
      <c r="O34" s="144">
        <f t="shared" si="10"/>
        <v>0</v>
      </c>
      <c r="P34" s="141"/>
      <c r="Q34" s="141"/>
      <c r="R34" s="141"/>
      <c r="V34" s="166"/>
    </row>
    <row r="35" spans="1:22" ht="18">
      <c r="A35" s="15" t="s">
        <v>104</v>
      </c>
      <c r="B35" s="15">
        <v>1140601313</v>
      </c>
      <c r="C35" s="141">
        <v>500</v>
      </c>
      <c r="D35" s="141">
        <f>-360+413.056-483.657</f>
        <v>-430.601</v>
      </c>
      <c r="E35" s="184">
        <f>C35+D35</f>
        <v>69.399000000000001</v>
      </c>
      <c r="F35" s="143"/>
      <c r="G35" s="141">
        <v>201.1</v>
      </c>
      <c r="H35" s="143">
        <f t="shared" si="13"/>
        <v>69.400000000000006</v>
      </c>
      <c r="I35" s="144">
        <f t="shared" si="4"/>
        <v>1.0000144094295307</v>
      </c>
      <c r="J35" s="144">
        <f t="shared" si="5"/>
        <v>0</v>
      </c>
      <c r="K35" s="141">
        <v>856.4</v>
      </c>
      <c r="L35" s="144">
        <f t="shared" si="1"/>
        <v>8.1036898645492766E-2</v>
      </c>
      <c r="M35" s="141">
        <v>-131.69999999999999</v>
      </c>
      <c r="N35" s="141">
        <v>65.099999999999994</v>
      </c>
      <c r="O35" s="144">
        <f t="shared" si="10"/>
        <v>-2.0230414746543777</v>
      </c>
      <c r="P35" s="141"/>
      <c r="Q35" s="141"/>
      <c r="R35" s="141"/>
      <c r="V35" s="166"/>
    </row>
    <row r="36" spans="1:22" ht="18">
      <c r="A36" s="15" t="s">
        <v>105</v>
      </c>
      <c r="B36" s="149">
        <v>1140602513</v>
      </c>
      <c r="C36" s="148"/>
      <c r="D36" s="141">
        <f>90+47.1-49.102</f>
        <v>87.99799999999999</v>
      </c>
      <c r="E36" s="187">
        <f>C36+D36</f>
        <v>87.99799999999999</v>
      </c>
      <c r="F36" s="143"/>
      <c r="G36" s="141">
        <v>88</v>
      </c>
      <c r="H36" s="143">
        <f t="shared" si="13"/>
        <v>88</v>
      </c>
      <c r="I36" s="144">
        <f t="shared" si="4"/>
        <v>1.0000227277892682</v>
      </c>
      <c r="J36" s="144">
        <f t="shared" si="5"/>
        <v>0</v>
      </c>
      <c r="K36" s="141">
        <v>22</v>
      </c>
      <c r="L36" s="144">
        <f t="shared" si="1"/>
        <v>4</v>
      </c>
      <c r="M36" s="141"/>
      <c r="N36" s="141">
        <v>22</v>
      </c>
      <c r="O36" s="144">
        <f t="shared" si="10"/>
        <v>0</v>
      </c>
      <c r="P36" s="141"/>
      <c r="Q36" s="141"/>
      <c r="R36" s="141"/>
      <c r="V36" s="166"/>
    </row>
    <row r="37" spans="1:22" ht="18">
      <c r="A37" s="9" t="s">
        <v>77</v>
      </c>
      <c r="B37" s="55">
        <v>1160000000</v>
      </c>
      <c r="C37" s="72">
        <v>20</v>
      </c>
      <c r="D37" s="72">
        <v>-9.9</v>
      </c>
      <c r="E37" s="85">
        <f>C37+D37</f>
        <v>10.1</v>
      </c>
      <c r="F37" s="75"/>
      <c r="G37" s="72">
        <v>10.1</v>
      </c>
      <c r="H37" s="75">
        <f t="shared" si="13"/>
        <v>10.1</v>
      </c>
      <c r="I37" s="66">
        <f t="shared" si="4"/>
        <v>1</v>
      </c>
      <c r="J37" s="66">
        <f t="shared" si="5"/>
        <v>0</v>
      </c>
      <c r="K37" s="72">
        <v>12.2</v>
      </c>
      <c r="L37" s="66">
        <f t="shared" si="1"/>
        <v>0.82786885245901642</v>
      </c>
      <c r="M37" s="72"/>
      <c r="N37" s="72">
        <v>0.5</v>
      </c>
      <c r="O37" s="66">
        <f t="shared" si="10"/>
        <v>0</v>
      </c>
      <c r="P37" s="72"/>
      <c r="Q37" s="72"/>
      <c r="R37" s="72"/>
      <c r="V37" s="166"/>
    </row>
    <row r="38" spans="1:22" ht="18">
      <c r="A38" s="9" t="s">
        <v>69</v>
      </c>
      <c r="B38" s="30">
        <v>1170000000</v>
      </c>
      <c r="C38" s="72">
        <f>SUM(C39:C40)</f>
        <v>0</v>
      </c>
      <c r="D38" s="72">
        <f>SUM(D39:D41)</f>
        <v>644.32500000000005</v>
      </c>
      <c r="E38" s="72">
        <f>SUM(E39:E41)</f>
        <v>644.32500000000005</v>
      </c>
      <c r="F38" s="72">
        <f>SUM(F39:F40)</f>
        <v>0</v>
      </c>
      <c r="G38" s="72">
        <f>SUM(G39:G41)</f>
        <v>645.70000000000005</v>
      </c>
      <c r="H38" s="73">
        <f>SUM(H39:H41)</f>
        <v>646.20000000000005</v>
      </c>
      <c r="I38" s="66">
        <f t="shared" si="4"/>
        <v>1.002910022116168</v>
      </c>
      <c r="J38" s="66">
        <f t="shared" si="5"/>
        <v>0</v>
      </c>
      <c r="K38" s="72">
        <f>SUM(K39:K40)</f>
        <v>0</v>
      </c>
      <c r="L38" s="66">
        <f t="shared" si="1"/>
        <v>0</v>
      </c>
      <c r="M38" s="72">
        <f>SUM(M39:M41)</f>
        <v>0.5</v>
      </c>
      <c r="N38" s="72">
        <f>SUM(N39:N40)</f>
        <v>0</v>
      </c>
      <c r="O38" s="72">
        <f>SUM(O39:O40)</f>
        <v>0</v>
      </c>
      <c r="P38" s="72">
        <f>SUM(P39:P40)</f>
        <v>0</v>
      </c>
      <c r="Q38" s="72">
        <f>SUM(Q39:Q40)</f>
        <v>0</v>
      </c>
      <c r="R38" s="72">
        <f>SUM(R39:R40)</f>
        <v>0</v>
      </c>
      <c r="V38" s="166"/>
    </row>
    <row r="39" spans="1:22" ht="18">
      <c r="A39" s="13" t="s">
        <v>8</v>
      </c>
      <c r="B39" s="13">
        <v>1170103003</v>
      </c>
      <c r="C39" s="71"/>
      <c r="D39" s="71"/>
      <c r="E39" s="67">
        <f>C39+D39</f>
        <v>0</v>
      </c>
      <c r="F39" s="67"/>
      <c r="G39" s="71"/>
      <c r="H39" s="68">
        <f>G39+M39</f>
        <v>0.5</v>
      </c>
      <c r="I39" s="70">
        <f t="shared" si="4"/>
        <v>0</v>
      </c>
      <c r="J39" s="70">
        <f t="shared" si="5"/>
        <v>0</v>
      </c>
      <c r="K39" s="71"/>
      <c r="L39" s="70">
        <f t="shared" si="1"/>
        <v>0</v>
      </c>
      <c r="M39" s="71">
        <v>0.5</v>
      </c>
      <c r="N39" s="71"/>
      <c r="O39" s="70">
        <f t="shared" ref="O39:O48" si="14">IF(N39&gt;0,M39/N39,0)</f>
        <v>0</v>
      </c>
      <c r="P39" s="77"/>
      <c r="Q39" s="77"/>
      <c r="R39" s="77"/>
      <c r="V39" s="166"/>
    </row>
    <row r="40" spans="1:22" ht="18">
      <c r="A40" s="13" t="s">
        <v>33</v>
      </c>
      <c r="B40" s="13">
        <v>1170505013</v>
      </c>
      <c r="C40" s="71"/>
      <c r="D40" s="68"/>
      <c r="E40" s="67">
        <f>C40+D40</f>
        <v>0</v>
      </c>
      <c r="F40" s="67"/>
      <c r="G40" s="71"/>
      <c r="H40" s="69">
        <f>G40+M40</f>
        <v>0</v>
      </c>
      <c r="I40" s="70">
        <f>IF(E40&gt;0,H40/E40,0)</f>
        <v>0</v>
      </c>
      <c r="J40" s="70">
        <f>IF(F40&gt;0,H40/F40,0)</f>
        <v>0</v>
      </c>
      <c r="K40" s="71"/>
      <c r="L40" s="70">
        <f>IF(K40&gt;0,H40/K40,0)</f>
        <v>0</v>
      </c>
      <c r="M40" s="71"/>
      <c r="N40" s="71"/>
      <c r="O40" s="70">
        <f t="shared" si="14"/>
        <v>0</v>
      </c>
      <c r="P40" s="71"/>
      <c r="Q40" s="71"/>
      <c r="R40" s="71"/>
      <c r="V40" s="166"/>
    </row>
    <row r="41" spans="1:22" ht="18">
      <c r="A41" s="45" t="s">
        <v>119</v>
      </c>
      <c r="B41" s="13">
        <v>1171503013</v>
      </c>
      <c r="C41" s="71"/>
      <c r="D41" s="83">
        <v>644.32500000000005</v>
      </c>
      <c r="E41" s="67">
        <f>C41+D41</f>
        <v>644.32500000000005</v>
      </c>
      <c r="F41" s="67"/>
      <c r="G41" s="71">
        <v>645.70000000000005</v>
      </c>
      <c r="H41" s="69">
        <f>G41+M41</f>
        <v>645.70000000000005</v>
      </c>
      <c r="I41" s="70">
        <f>IF(E41&gt;0,H41/E41,0)</f>
        <v>1.0021340162185233</v>
      </c>
      <c r="J41" s="70"/>
      <c r="K41" s="71"/>
      <c r="L41" s="70">
        <f>IF(K41&gt;0,H41/K41,0)</f>
        <v>0</v>
      </c>
      <c r="M41" s="71"/>
      <c r="N41" s="71"/>
      <c r="O41" s="70">
        <f t="shared" si="14"/>
        <v>0</v>
      </c>
      <c r="P41" s="71"/>
      <c r="Q41" s="71"/>
      <c r="R41" s="71"/>
      <c r="V41" s="166"/>
    </row>
    <row r="42" spans="1:22" ht="18">
      <c r="A42" s="9" t="s">
        <v>6</v>
      </c>
      <c r="B42" s="9">
        <v>1000000000</v>
      </c>
      <c r="C42" s="78">
        <f t="shared" ref="C42:H42" si="15">C5+C23</f>
        <v>11729.3</v>
      </c>
      <c r="D42" s="78">
        <f t="shared" si="15"/>
        <v>927.29300000000001</v>
      </c>
      <c r="E42" s="78">
        <f t="shared" si="15"/>
        <v>12656.592999999997</v>
      </c>
      <c r="F42" s="79">
        <f t="shared" si="15"/>
        <v>0</v>
      </c>
      <c r="G42" s="79">
        <f>G5+G23</f>
        <v>11904.199999999999</v>
      </c>
      <c r="H42" s="79">
        <f t="shared" si="15"/>
        <v>13283.4</v>
      </c>
      <c r="I42" s="80">
        <f t="shared" si="4"/>
        <v>1.049524149192441</v>
      </c>
      <c r="J42" s="80">
        <f t="shared" si="5"/>
        <v>0</v>
      </c>
      <c r="K42" s="79">
        <f>K5+K23</f>
        <v>11396.2</v>
      </c>
      <c r="L42" s="80">
        <f t="shared" si="1"/>
        <v>1.1655990593355678</v>
      </c>
      <c r="M42" s="79">
        <f>M5+M23</f>
        <v>1379.1999999999998</v>
      </c>
      <c r="N42" s="79">
        <f>N5+N23</f>
        <v>1469.4</v>
      </c>
      <c r="O42" s="80">
        <f t="shared" si="14"/>
        <v>0.93861440043555178</v>
      </c>
      <c r="P42" s="79">
        <f>P5+P23</f>
        <v>487.7</v>
      </c>
      <c r="Q42" s="79">
        <f>Q5+Q23</f>
        <v>618.29999999999995</v>
      </c>
      <c r="R42" s="123">
        <f>R5+R23</f>
        <v>678.5</v>
      </c>
      <c r="V42" s="166"/>
    </row>
    <row r="43" spans="1:22" ht="18">
      <c r="A43" s="9" t="s">
        <v>92</v>
      </c>
      <c r="B43" s="9"/>
      <c r="C43" s="78">
        <f t="shared" ref="C43:H43" si="16">C42-C10</f>
        <v>10240</v>
      </c>
      <c r="D43" s="78">
        <f t="shared" si="16"/>
        <v>927.29300000000001</v>
      </c>
      <c r="E43" s="78">
        <f t="shared" si="16"/>
        <v>11167.292999999998</v>
      </c>
      <c r="F43" s="79">
        <f t="shared" si="16"/>
        <v>0</v>
      </c>
      <c r="G43" s="79">
        <f>G42-G10</f>
        <v>10327.099999999999</v>
      </c>
      <c r="H43" s="79">
        <f t="shared" si="16"/>
        <v>11565</v>
      </c>
      <c r="I43" s="80">
        <f>IF(E43&gt;0,H43/E43,0)</f>
        <v>1.0356135546904699</v>
      </c>
      <c r="J43" s="80">
        <f>IF(F43&gt;0,H43/F43,0)</f>
        <v>0</v>
      </c>
      <c r="K43" s="79">
        <f>K42-K10</f>
        <v>9957.2000000000007</v>
      </c>
      <c r="L43" s="80">
        <f t="shared" si="1"/>
        <v>1.1614710962921302</v>
      </c>
      <c r="M43" s="79">
        <f>M42-M10</f>
        <v>1237.8999999999999</v>
      </c>
      <c r="N43" s="79">
        <f>N42-N10</f>
        <v>1341.7</v>
      </c>
      <c r="O43" s="80">
        <f t="shared" si="14"/>
        <v>0.92263546247298189</v>
      </c>
      <c r="P43" s="79"/>
      <c r="Q43" s="79"/>
      <c r="R43" s="123"/>
      <c r="V43" s="166"/>
    </row>
    <row r="44" spans="1:22" ht="18">
      <c r="A44" s="13" t="s">
        <v>36</v>
      </c>
      <c r="B44" s="13">
        <v>2000000000</v>
      </c>
      <c r="C44" s="83">
        <v>27507.95</v>
      </c>
      <c r="D44" s="83">
        <f>3000+1944.5-4042.25+6885.15+5767.4+252</f>
        <v>13806.8</v>
      </c>
      <c r="E44" s="165">
        <f>C44+D44</f>
        <v>41314.75</v>
      </c>
      <c r="F44" s="67"/>
      <c r="G44" s="71">
        <v>33426.699999999997</v>
      </c>
      <c r="H44" s="68">
        <f>G44+M44</f>
        <v>41081.199999999997</v>
      </c>
      <c r="I44" s="70">
        <f t="shared" si="4"/>
        <v>0.99434705522845945</v>
      </c>
      <c r="J44" s="70">
        <f t="shared" si="5"/>
        <v>0</v>
      </c>
      <c r="K44" s="71">
        <v>2416</v>
      </c>
      <c r="L44" s="70">
        <f t="shared" si="1"/>
        <v>17.003807947019865</v>
      </c>
      <c r="M44" s="71">
        <v>7654.5</v>
      </c>
      <c r="N44" s="71">
        <v>920.7</v>
      </c>
      <c r="O44" s="70">
        <f t="shared" si="14"/>
        <v>8.3137829912023449</v>
      </c>
      <c r="P44" s="71"/>
      <c r="Q44" s="71"/>
      <c r="R44" s="71"/>
      <c r="V44" s="166"/>
    </row>
    <row r="45" spans="1:22" ht="18">
      <c r="A45" s="13" t="s">
        <v>46</v>
      </c>
      <c r="B45" s="34" t="s">
        <v>95</v>
      </c>
      <c r="C45" s="71"/>
      <c r="D45" s="83"/>
      <c r="E45" s="67">
        <f>C45+D45</f>
        <v>0</v>
      </c>
      <c r="F45" s="67"/>
      <c r="G45" s="71"/>
      <c r="H45" s="68">
        <f>G45+M45</f>
        <v>0</v>
      </c>
      <c r="I45" s="70">
        <f>IF(E45&gt;0,H45/E45,0)</f>
        <v>0</v>
      </c>
      <c r="J45" s="70">
        <f>IF(F45&gt;0,H45/F45,0)</f>
        <v>0</v>
      </c>
      <c r="K45" s="71"/>
      <c r="L45" s="70">
        <f t="shared" si="1"/>
        <v>0</v>
      </c>
      <c r="M45" s="71"/>
      <c r="N45" s="71"/>
      <c r="O45" s="70">
        <f t="shared" si="14"/>
        <v>0</v>
      </c>
      <c r="P45" s="71"/>
      <c r="Q45" s="71"/>
      <c r="R45" s="71"/>
      <c r="V45" s="166"/>
    </row>
    <row r="46" spans="1:22" ht="18">
      <c r="A46" s="8" t="s">
        <v>108</v>
      </c>
      <c r="B46" s="157" t="s">
        <v>111</v>
      </c>
      <c r="C46" s="71"/>
      <c r="D46" s="83"/>
      <c r="E46" s="67">
        <f>C46+D46</f>
        <v>0</v>
      </c>
      <c r="F46" s="67"/>
      <c r="G46" s="68"/>
      <c r="H46" s="68">
        <f>G46+M46</f>
        <v>0</v>
      </c>
      <c r="I46" s="70">
        <f>IF(E46&gt;0,H46/E46,0)</f>
        <v>0</v>
      </c>
      <c r="J46" s="70"/>
      <c r="K46" s="68"/>
      <c r="L46" s="70"/>
      <c r="M46" s="68"/>
      <c r="N46" s="68"/>
      <c r="O46" s="70"/>
      <c r="P46" s="71"/>
      <c r="Q46" s="71"/>
      <c r="R46" s="71"/>
      <c r="V46" s="166"/>
    </row>
    <row r="47" spans="1:22" ht="24" customHeight="1">
      <c r="A47" s="8" t="s">
        <v>93</v>
      </c>
      <c r="B47" s="46" t="s">
        <v>107</v>
      </c>
      <c r="C47" s="71"/>
      <c r="D47" s="82"/>
      <c r="E47" s="67">
        <f>C47+D47</f>
        <v>0</v>
      </c>
      <c r="F47" s="67"/>
      <c r="G47" s="71"/>
      <c r="H47" s="68">
        <f>G47+M47</f>
        <v>0</v>
      </c>
      <c r="I47" s="70"/>
      <c r="J47" s="70"/>
      <c r="K47" s="71"/>
      <c r="L47" s="70"/>
      <c r="M47" s="71"/>
      <c r="N47" s="71"/>
      <c r="O47" s="70"/>
      <c r="P47" s="71"/>
      <c r="Q47" s="71"/>
      <c r="R47" s="71"/>
      <c r="V47" s="166"/>
    </row>
    <row r="48" spans="1:22" ht="18">
      <c r="A48" s="9" t="s">
        <v>2</v>
      </c>
      <c r="B48" s="9"/>
      <c r="C48" s="78">
        <f>C42+C44+C45</f>
        <v>39237.25</v>
      </c>
      <c r="D48" s="78">
        <f>D42+D44+D45+D47+D46</f>
        <v>14734.092999999999</v>
      </c>
      <c r="E48" s="78">
        <f>E42+E44+E45+E47+E46</f>
        <v>53971.342999999993</v>
      </c>
      <c r="F48" s="79">
        <f>F42+F44+F45</f>
        <v>0</v>
      </c>
      <c r="G48" s="79">
        <f>G42+G44+G45+G47+G46</f>
        <v>45330.899999999994</v>
      </c>
      <c r="H48" s="79">
        <f>H42+H44+H45+H47+H46</f>
        <v>54364.6</v>
      </c>
      <c r="I48" s="80">
        <f t="shared" si="4"/>
        <v>1.0072864038235996</v>
      </c>
      <c r="J48" s="80">
        <f t="shared" si="5"/>
        <v>0</v>
      </c>
      <c r="K48" s="79">
        <f>K42+K44+K45+K46+K47</f>
        <v>13812.2</v>
      </c>
      <c r="L48" s="80">
        <f t="shared" si="1"/>
        <v>3.9359841299720535</v>
      </c>
      <c r="M48" s="79">
        <f>M42+M44+M45+M47+M46</f>
        <v>9033.7000000000007</v>
      </c>
      <c r="N48" s="79">
        <f>N42+N44+N45+N47+N46</f>
        <v>2390.1000000000004</v>
      </c>
      <c r="O48" s="80">
        <f t="shared" si="14"/>
        <v>3.7796326513534995</v>
      </c>
      <c r="P48" s="79">
        <f>P42+P44+P45</f>
        <v>487.7</v>
      </c>
      <c r="Q48" s="79">
        <f>Q42+Q44+Q45</f>
        <v>618.29999999999995</v>
      </c>
      <c r="R48" s="79">
        <f>R42+R44+R45</f>
        <v>678.5</v>
      </c>
      <c r="V48" s="166"/>
    </row>
  </sheetData>
  <mergeCells count="15">
    <mergeCell ref="A3:A4"/>
    <mergeCell ref="B3:B4"/>
    <mergeCell ref="C3:C4"/>
    <mergeCell ref="D3:D4"/>
    <mergeCell ref="C1:N1"/>
    <mergeCell ref="B2:R2"/>
    <mergeCell ref="G3:G4"/>
    <mergeCell ref="M3:M4"/>
    <mergeCell ref="E3:E4"/>
    <mergeCell ref="P3:R3"/>
    <mergeCell ref="K3:L3"/>
    <mergeCell ref="F3:F4"/>
    <mergeCell ref="H3:J3"/>
    <mergeCell ref="N3:N4"/>
    <mergeCell ref="O3:O4"/>
  </mergeCells>
  <phoneticPr fontId="0" type="noConversion"/>
  <pageMargins left="0.75" right="0.75" top="1" bottom="1" header="0.5" footer="0.5"/>
  <pageSetup paperSize="9" scale="49" fitToWidth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9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R21" sqref="R21"/>
    </sheetView>
  </sheetViews>
  <sheetFormatPr defaultRowHeight="12.75"/>
  <cols>
    <col min="1" max="1" width="40.140625" customWidth="1"/>
    <col min="2" max="2" width="15.42578125" customWidth="1"/>
    <col min="3" max="3" width="14" customWidth="1"/>
    <col min="4" max="4" width="12.140625" customWidth="1"/>
    <col min="5" max="5" width="14.85546875" customWidth="1"/>
    <col min="6" max="6" width="11" hidden="1" customWidth="1"/>
    <col min="7" max="7" width="11.85546875" customWidth="1"/>
    <col min="8" max="8" width="11.42578125" customWidth="1"/>
    <col min="9" max="9" width="12.42578125" customWidth="1"/>
    <col min="10" max="10" width="0.140625" hidden="1" customWidth="1"/>
    <col min="11" max="11" width="10.5703125" customWidth="1"/>
    <col min="12" max="12" width="15.140625" customWidth="1"/>
    <col min="13" max="13" width="11.28515625" customWidth="1"/>
    <col min="14" max="14" width="11.140625" customWidth="1"/>
    <col min="15" max="15" width="14.28515625" customWidth="1"/>
    <col min="16" max="16" width="10.42578125" customWidth="1"/>
    <col min="17" max="17" width="10.7109375" customWidth="1"/>
    <col min="18" max="18" width="10.5703125" customWidth="1"/>
    <col min="19" max="19" width="10.28515625" bestFit="1" customWidth="1"/>
  </cols>
  <sheetData>
    <row r="1" spans="1:19" ht="15.75">
      <c r="A1" s="26"/>
      <c r="B1" s="48"/>
      <c r="C1" s="194" t="s">
        <v>11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49"/>
      <c r="O1" s="49"/>
      <c r="P1" s="26"/>
      <c r="Q1" s="26"/>
      <c r="R1" s="26"/>
    </row>
    <row r="2" spans="1:19" ht="15.75">
      <c r="A2" s="26"/>
      <c r="B2" s="195" t="s">
        <v>130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9" ht="18" customHeight="1">
      <c r="A3" s="196" t="s">
        <v>3</v>
      </c>
      <c r="B3" s="189" t="s">
        <v>4</v>
      </c>
      <c r="C3" s="189" t="s">
        <v>115</v>
      </c>
      <c r="D3" s="189" t="s">
        <v>24</v>
      </c>
      <c r="E3" s="189" t="s">
        <v>116</v>
      </c>
      <c r="F3" s="189" t="s">
        <v>99</v>
      </c>
      <c r="G3" s="189" t="s">
        <v>122</v>
      </c>
      <c r="H3" s="189" t="s">
        <v>117</v>
      </c>
      <c r="I3" s="189"/>
      <c r="J3" s="189"/>
      <c r="K3" s="189" t="s">
        <v>113</v>
      </c>
      <c r="L3" s="189"/>
      <c r="M3" s="189" t="s">
        <v>126</v>
      </c>
      <c r="N3" s="189" t="s">
        <v>127</v>
      </c>
      <c r="O3" s="189" t="s">
        <v>30</v>
      </c>
      <c r="P3" s="189" t="s">
        <v>9</v>
      </c>
      <c r="Q3" s="189"/>
      <c r="R3" s="189"/>
    </row>
    <row r="4" spans="1:19" ht="98.25" customHeight="1">
      <c r="A4" s="197"/>
      <c r="B4" s="198"/>
      <c r="C4" s="189"/>
      <c r="D4" s="189"/>
      <c r="E4" s="189"/>
      <c r="F4" s="189"/>
      <c r="G4" s="189"/>
      <c r="H4" s="185" t="s">
        <v>125</v>
      </c>
      <c r="I4" s="185" t="s">
        <v>10</v>
      </c>
      <c r="J4" s="185" t="s">
        <v>29</v>
      </c>
      <c r="K4" s="185" t="s">
        <v>125</v>
      </c>
      <c r="L4" s="185" t="s">
        <v>30</v>
      </c>
      <c r="M4" s="189"/>
      <c r="N4" s="189"/>
      <c r="O4" s="189"/>
      <c r="P4" s="122" t="s">
        <v>118</v>
      </c>
      <c r="Q4" s="122" t="s">
        <v>123</v>
      </c>
      <c r="R4" s="122" t="s">
        <v>128</v>
      </c>
    </row>
    <row r="5" spans="1:19" ht="21" customHeight="1">
      <c r="A5" s="51" t="s">
        <v>21</v>
      </c>
      <c r="B5" s="52"/>
      <c r="C5" s="84">
        <f t="shared" ref="C5:H5" si="0">C6+C15+C17+C22+C23+C10</f>
        <v>999.80000000000007</v>
      </c>
      <c r="D5" s="84">
        <f t="shared" si="0"/>
        <v>42.353000000000002</v>
      </c>
      <c r="E5" s="84">
        <f t="shared" si="0"/>
        <v>1042.153</v>
      </c>
      <c r="F5" s="84" t="e">
        <f t="shared" si="0"/>
        <v>#REF!</v>
      </c>
      <c r="G5" s="84">
        <f t="shared" si="0"/>
        <v>970.40000000000009</v>
      </c>
      <c r="H5" s="84">
        <f t="shared" si="0"/>
        <v>1086.6999999999998</v>
      </c>
      <c r="I5" s="64">
        <f t="shared" ref="I5:I39" si="1">IF(E5&gt;0,H5/E5,0)</f>
        <v>1.0427451631382338</v>
      </c>
      <c r="J5" s="64" t="e">
        <f>IF(F5&gt;0,H5/F5,0)</f>
        <v>#REF!</v>
      </c>
      <c r="K5" s="84">
        <f>K6+K15+K17+K22+K23+K10</f>
        <v>915.09999999999991</v>
      </c>
      <c r="L5" s="64">
        <f>IF(K5&gt;0,H5/K5,0)</f>
        <v>1.1875204895639819</v>
      </c>
      <c r="M5" s="84">
        <f>M6+M15+M17+M22+M23+M10</f>
        <v>116.3</v>
      </c>
      <c r="N5" s="84">
        <f>N6+N15+N17+N22+N23+N10</f>
        <v>75.300000000000011</v>
      </c>
      <c r="O5" s="64">
        <f t="shared" ref="O5:O31" si="2">IF(N5&gt;0,M5/N5,0)</f>
        <v>1.5444887118193888</v>
      </c>
      <c r="P5" s="84">
        <f>P6+P15+P17+P22+P23+P10</f>
        <v>15.999999999999998</v>
      </c>
      <c r="Q5" s="84">
        <f>Q6+Q15+Q17+Q22+Q23+Q10</f>
        <v>12.600000000000001</v>
      </c>
      <c r="R5" s="84">
        <f>R6+R15+R17+R22+R23+R10</f>
        <v>47.3</v>
      </c>
    </row>
    <row r="6" spans="1:19" ht="16.5" customHeight="1">
      <c r="A6" s="9" t="s">
        <v>63</v>
      </c>
      <c r="B6" s="53">
        <v>1010200001</v>
      </c>
      <c r="C6" s="85">
        <f>C7+C8+C9</f>
        <v>442.7</v>
      </c>
      <c r="D6" s="85">
        <f>D7+D8+D9</f>
        <v>0</v>
      </c>
      <c r="E6" s="85">
        <f>E7+E8+E9</f>
        <v>442.7</v>
      </c>
      <c r="F6" s="85" t="e">
        <f>F7+F8+F9+#REF!</f>
        <v>#REF!</v>
      </c>
      <c r="G6" s="85">
        <f>G7+G8+G9</f>
        <v>403.1</v>
      </c>
      <c r="H6" s="85">
        <f>H7+H8+H9</f>
        <v>464.90000000000003</v>
      </c>
      <c r="I6" s="66">
        <f t="shared" si="1"/>
        <v>1.050146826293201</v>
      </c>
      <c r="J6" s="66" t="e">
        <f>IF(F6&gt;0,H6/F6,0)</f>
        <v>#REF!</v>
      </c>
      <c r="K6" s="85">
        <f>K7+K8+K9</f>
        <v>389.1</v>
      </c>
      <c r="L6" s="66">
        <f t="shared" ref="L6:L39" si="3">IF(K6&gt;0,H6/K6,0)</f>
        <v>1.1948085325109226</v>
      </c>
      <c r="M6" s="85">
        <f>M7+M8+M9</f>
        <v>61.8</v>
      </c>
      <c r="N6" s="85">
        <f>N7+N8+N9</f>
        <v>35.6</v>
      </c>
      <c r="O6" s="66">
        <f t="shared" si="2"/>
        <v>1.7359550561797752</v>
      </c>
      <c r="P6" s="85">
        <f>P7+P8+P9</f>
        <v>0.7</v>
      </c>
      <c r="Q6" s="85">
        <f>Q7+Q8+Q9</f>
        <v>1.9000000000000001</v>
      </c>
      <c r="R6" s="85">
        <f>R7+R8+R9</f>
        <v>32.299999999999997</v>
      </c>
      <c r="S6" s="26"/>
    </row>
    <row r="7" spans="1:19" ht="18">
      <c r="A7" s="10" t="s">
        <v>44</v>
      </c>
      <c r="B7" s="13">
        <v>1010201001</v>
      </c>
      <c r="C7" s="71">
        <v>442.7</v>
      </c>
      <c r="D7" s="68"/>
      <c r="E7" s="67">
        <f>C7+D7</f>
        <v>442.7</v>
      </c>
      <c r="F7" s="67"/>
      <c r="G7" s="68">
        <v>402.5</v>
      </c>
      <c r="H7" s="69">
        <f>G7+M7</f>
        <v>464.3</v>
      </c>
      <c r="I7" s="70">
        <f t="shared" si="1"/>
        <v>1.0487915066636548</v>
      </c>
      <c r="J7" s="70">
        <f t="shared" ref="J7:J39" si="4">IF(F7&gt;0,H7/F7,0)</f>
        <v>0</v>
      </c>
      <c r="K7" s="68">
        <v>379.3</v>
      </c>
      <c r="L7" s="70">
        <f t="shared" si="3"/>
        <v>1.2240970208278408</v>
      </c>
      <c r="M7" s="68">
        <v>61.8</v>
      </c>
      <c r="N7" s="68">
        <v>26.1</v>
      </c>
      <c r="O7" s="70">
        <f t="shared" si="2"/>
        <v>2.3678160919540225</v>
      </c>
      <c r="P7" s="71">
        <v>0.4</v>
      </c>
      <c r="Q7" s="71">
        <v>1.6</v>
      </c>
      <c r="R7" s="71">
        <v>0.4</v>
      </c>
      <c r="S7" s="171"/>
    </row>
    <row r="8" spans="1:19" ht="18">
      <c r="A8" s="10" t="s">
        <v>43</v>
      </c>
      <c r="B8" s="13">
        <v>1010202001</v>
      </c>
      <c r="C8" s="71"/>
      <c r="D8" s="68"/>
      <c r="E8" s="67">
        <f>C8+D8</f>
        <v>0</v>
      </c>
      <c r="F8" s="67"/>
      <c r="G8" s="71"/>
      <c r="H8" s="69">
        <f>G8+M8</f>
        <v>0</v>
      </c>
      <c r="I8" s="70">
        <f t="shared" si="1"/>
        <v>0</v>
      </c>
      <c r="J8" s="70">
        <f t="shared" si="4"/>
        <v>0</v>
      </c>
      <c r="K8" s="71"/>
      <c r="L8" s="70">
        <f>IF(K8&gt;0,H8/K8,0)</f>
        <v>0</v>
      </c>
      <c r="M8" s="71"/>
      <c r="N8" s="71"/>
      <c r="O8" s="70">
        <f>IF(N8&gt;0,M8/N8,0)</f>
        <v>0</v>
      </c>
      <c r="P8" s="67"/>
      <c r="Q8" s="67"/>
      <c r="R8" s="67"/>
      <c r="S8" s="26"/>
    </row>
    <row r="9" spans="1:19" ht="21" customHeight="1">
      <c r="A9" s="10" t="s">
        <v>42</v>
      </c>
      <c r="B9" s="13">
        <v>1010203001</v>
      </c>
      <c r="C9" s="71"/>
      <c r="D9" s="71"/>
      <c r="E9" s="67">
        <f>C9+D9</f>
        <v>0</v>
      </c>
      <c r="F9" s="67"/>
      <c r="G9" s="71">
        <v>0.6</v>
      </c>
      <c r="H9" s="69">
        <f>G9+M9</f>
        <v>0.6</v>
      </c>
      <c r="I9" s="70">
        <f t="shared" si="1"/>
        <v>0</v>
      </c>
      <c r="J9" s="70">
        <f t="shared" si="4"/>
        <v>0</v>
      </c>
      <c r="K9" s="71">
        <v>9.8000000000000007</v>
      </c>
      <c r="L9" s="70">
        <f t="shared" si="3"/>
        <v>6.1224489795918359E-2</v>
      </c>
      <c r="M9" s="71"/>
      <c r="N9" s="71">
        <v>9.5</v>
      </c>
      <c r="O9" s="70">
        <f t="shared" si="2"/>
        <v>0</v>
      </c>
      <c r="P9" s="71">
        <v>0.3</v>
      </c>
      <c r="Q9" s="71">
        <v>0.3</v>
      </c>
      <c r="R9" s="71">
        <v>31.9</v>
      </c>
      <c r="S9" s="26"/>
    </row>
    <row r="10" spans="1:19" ht="30" customHeight="1">
      <c r="A10" s="11" t="s">
        <v>48</v>
      </c>
      <c r="B10" s="19">
        <v>1030200001</v>
      </c>
      <c r="C10" s="72">
        <f t="shared" ref="C10:H10" si="5">SUM(C11:C14)</f>
        <v>404.1</v>
      </c>
      <c r="D10" s="72">
        <f t="shared" si="5"/>
        <v>0</v>
      </c>
      <c r="E10" s="72">
        <f t="shared" si="5"/>
        <v>404.1</v>
      </c>
      <c r="F10" s="72"/>
      <c r="G10" s="72">
        <f>SUM(G11:G14)</f>
        <v>426.49999999999994</v>
      </c>
      <c r="H10" s="72">
        <f t="shared" si="5"/>
        <v>464.69999999999993</v>
      </c>
      <c r="I10" s="66">
        <f t="shared" si="1"/>
        <v>1.1499628804751296</v>
      </c>
      <c r="J10" s="66">
        <f>IF(F10&gt;0,H10/F10,0)</f>
        <v>0</v>
      </c>
      <c r="K10" s="72">
        <f>SUM(K11:K14)</f>
        <v>389.2</v>
      </c>
      <c r="L10" s="66">
        <f t="shared" si="3"/>
        <v>1.1939876670092495</v>
      </c>
      <c r="M10" s="72">
        <f>SUM(M11:M14)</f>
        <v>38.200000000000003</v>
      </c>
      <c r="N10" s="72">
        <f>SUM(N11:N14)</f>
        <v>34.6</v>
      </c>
      <c r="O10" s="66">
        <f t="shared" si="2"/>
        <v>1.1040462427745665</v>
      </c>
      <c r="P10" s="72">
        <f>SUM(P11:P14)</f>
        <v>0</v>
      </c>
      <c r="Q10" s="72">
        <f>SUM(Q11:Q14)</f>
        <v>0</v>
      </c>
      <c r="R10" s="72">
        <f>SUM(R11:R14)</f>
        <v>0</v>
      </c>
      <c r="S10" s="26"/>
    </row>
    <row r="11" spans="1:19" ht="22.5" customHeight="1">
      <c r="A11" s="12" t="s">
        <v>49</v>
      </c>
      <c r="B11" s="12">
        <v>1030223101</v>
      </c>
      <c r="C11" s="71">
        <v>182.7</v>
      </c>
      <c r="D11" s="71"/>
      <c r="E11" s="67">
        <f>C11+D11</f>
        <v>182.7</v>
      </c>
      <c r="F11" s="67"/>
      <c r="G11" s="71">
        <v>213</v>
      </c>
      <c r="H11" s="69">
        <f>G11+M11</f>
        <v>232.9</v>
      </c>
      <c r="I11" s="70">
        <f t="shared" si="1"/>
        <v>1.2747673782156541</v>
      </c>
      <c r="J11" s="70">
        <f>IF(F11&gt;0,H11/F11,0)</f>
        <v>0</v>
      </c>
      <c r="K11" s="71">
        <v>179.6</v>
      </c>
      <c r="L11" s="70">
        <f t="shared" si="3"/>
        <v>1.296770601336303</v>
      </c>
      <c r="M11" s="71">
        <v>19.899999999999999</v>
      </c>
      <c r="N11" s="71">
        <v>17.100000000000001</v>
      </c>
      <c r="O11" s="70">
        <f t="shared" si="2"/>
        <v>1.1637426900584793</v>
      </c>
      <c r="P11" s="71"/>
      <c r="Q11" s="71"/>
      <c r="R11" s="71"/>
      <c r="S11" s="26"/>
    </row>
    <row r="12" spans="1:19" ht="18.75" customHeight="1">
      <c r="A12" s="12" t="s">
        <v>50</v>
      </c>
      <c r="B12" s="12">
        <v>1030224101</v>
      </c>
      <c r="C12" s="71">
        <v>1</v>
      </c>
      <c r="D12" s="71"/>
      <c r="E12" s="67">
        <f>C12+D12</f>
        <v>1</v>
      </c>
      <c r="F12" s="67"/>
      <c r="G12" s="71">
        <v>1.1000000000000001</v>
      </c>
      <c r="H12" s="69">
        <f>G12+M12</f>
        <v>1.2000000000000002</v>
      </c>
      <c r="I12" s="70">
        <f t="shared" si="1"/>
        <v>1.2000000000000002</v>
      </c>
      <c r="J12" s="70">
        <f>IF(F12&gt;0,H12/F12,0)</f>
        <v>0</v>
      </c>
      <c r="K12" s="71">
        <v>1.3</v>
      </c>
      <c r="L12" s="70">
        <f t="shared" si="3"/>
        <v>0.92307692307692313</v>
      </c>
      <c r="M12" s="71">
        <v>0.1</v>
      </c>
      <c r="N12" s="71">
        <v>0.1</v>
      </c>
      <c r="O12" s="70">
        <f t="shared" si="2"/>
        <v>1</v>
      </c>
      <c r="P12" s="71"/>
      <c r="Q12" s="71"/>
      <c r="R12" s="71"/>
      <c r="S12" s="26"/>
    </row>
    <row r="13" spans="1:19" ht="19.5" customHeight="1">
      <c r="A13" s="12" t="s">
        <v>51</v>
      </c>
      <c r="B13" s="12">
        <v>1030225101</v>
      </c>
      <c r="C13" s="71">
        <v>243.3</v>
      </c>
      <c r="D13" s="71"/>
      <c r="E13" s="67">
        <f>C13+D13</f>
        <v>243.3</v>
      </c>
      <c r="F13" s="67"/>
      <c r="G13" s="71">
        <v>237.2</v>
      </c>
      <c r="H13" s="69">
        <f>G13+M13</f>
        <v>257.2</v>
      </c>
      <c r="I13" s="70">
        <f t="shared" si="1"/>
        <v>1.0571311138512125</v>
      </c>
      <c r="J13" s="70">
        <f>IF(F13&gt;0,H13/F13,0)</f>
        <v>0</v>
      </c>
      <c r="K13" s="71">
        <v>238.9</v>
      </c>
      <c r="L13" s="70">
        <f t="shared" si="3"/>
        <v>1.0766010883214734</v>
      </c>
      <c r="M13" s="71">
        <v>20</v>
      </c>
      <c r="N13" s="71">
        <v>20.5</v>
      </c>
      <c r="O13" s="70">
        <f t="shared" si="2"/>
        <v>0.97560975609756095</v>
      </c>
      <c r="P13" s="71"/>
      <c r="Q13" s="71"/>
      <c r="R13" s="71"/>
      <c r="S13" s="26"/>
    </row>
    <row r="14" spans="1:19" ht="18.75" customHeight="1">
      <c r="A14" s="12" t="s">
        <v>52</v>
      </c>
      <c r="B14" s="12">
        <v>1030226101</v>
      </c>
      <c r="C14" s="71">
        <v>-22.9</v>
      </c>
      <c r="D14" s="71"/>
      <c r="E14" s="67">
        <f>C14+D14</f>
        <v>-22.9</v>
      </c>
      <c r="F14" s="67"/>
      <c r="G14" s="71">
        <v>-24.8</v>
      </c>
      <c r="H14" s="69">
        <f>G14+M14</f>
        <v>-26.6</v>
      </c>
      <c r="I14" s="70">
        <f>H14/E14</f>
        <v>1.1615720524017468</v>
      </c>
      <c r="J14" s="70">
        <f>IF(F14&gt;0,H14/F14,0)</f>
        <v>0</v>
      </c>
      <c r="K14" s="71">
        <v>-30.6</v>
      </c>
      <c r="L14" s="70">
        <f t="shared" si="3"/>
        <v>0</v>
      </c>
      <c r="M14" s="71">
        <v>-1.8</v>
      </c>
      <c r="N14" s="71">
        <v>-3.1</v>
      </c>
      <c r="O14" s="70">
        <f t="shared" si="2"/>
        <v>0</v>
      </c>
      <c r="P14" s="71"/>
      <c r="Q14" s="71"/>
      <c r="R14" s="71"/>
      <c r="S14" s="26"/>
    </row>
    <row r="15" spans="1:19" ht="18">
      <c r="A15" s="9" t="s">
        <v>70</v>
      </c>
      <c r="B15" s="30">
        <v>1050000000</v>
      </c>
      <c r="C15" s="72">
        <f t="shared" ref="C15:H15" si="6">C16</f>
        <v>0</v>
      </c>
      <c r="D15" s="128">
        <f t="shared" si="6"/>
        <v>44.753</v>
      </c>
      <c r="E15" s="128">
        <f t="shared" si="6"/>
        <v>44.753</v>
      </c>
      <c r="F15" s="73">
        <f t="shared" si="6"/>
        <v>0</v>
      </c>
      <c r="G15" s="72">
        <f>G16</f>
        <v>44.8</v>
      </c>
      <c r="H15" s="73">
        <f t="shared" si="6"/>
        <v>44.8</v>
      </c>
      <c r="I15" s="66">
        <f t="shared" si="1"/>
        <v>1.0010502089245412</v>
      </c>
      <c r="J15" s="66">
        <f t="shared" si="4"/>
        <v>0</v>
      </c>
      <c r="K15" s="72">
        <f>K16</f>
        <v>-0.3</v>
      </c>
      <c r="L15" s="66">
        <f t="shared" si="3"/>
        <v>0</v>
      </c>
      <c r="M15" s="72">
        <f>M16</f>
        <v>0</v>
      </c>
      <c r="N15" s="72">
        <f>N16</f>
        <v>0</v>
      </c>
      <c r="O15" s="66">
        <f t="shared" si="2"/>
        <v>0</v>
      </c>
      <c r="P15" s="72">
        <f>P16</f>
        <v>0</v>
      </c>
      <c r="Q15" s="72">
        <f>Q16</f>
        <v>0</v>
      </c>
      <c r="R15" s="72">
        <f>R16</f>
        <v>0</v>
      </c>
      <c r="S15" s="26"/>
    </row>
    <row r="16" spans="1:19" ht="18">
      <c r="A16" s="13" t="s">
        <v>7</v>
      </c>
      <c r="B16" s="13">
        <v>1050300001</v>
      </c>
      <c r="C16" s="71"/>
      <c r="D16" s="83">
        <f>19.753+5+20</f>
        <v>44.753</v>
      </c>
      <c r="E16" s="67">
        <f>C16+D16</f>
        <v>44.753</v>
      </c>
      <c r="F16" s="67">
        <f>1-1</f>
        <v>0</v>
      </c>
      <c r="G16" s="71">
        <v>44.8</v>
      </c>
      <c r="H16" s="69">
        <f>G16+M16</f>
        <v>44.8</v>
      </c>
      <c r="I16" s="70">
        <f t="shared" si="1"/>
        <v>1.0010502089245412</v>
      </c>
      <c r="J16" s="70">
        <f t="shared" si="4"/>
        <v>0</v>
      </c>
      <c r="K16" s="71">
        <v>-0.3</v>
      </c>
      <c r="L16" s="70">
        <f t="shared" si="3"/>
        <v>0</v>
      </c>
      <c r="M16" s="71"/>
      <c r="N16" s="71"/>
      <c r="O16" s="70">
        <f t="shared" si="2"/>
        <v>0</v>
      </c>
      <c r="P16" s="71"/>
      <c r="Q16" s="71"/>
      <c r="R16" s="71"/>
      <c r="S16" s="26"/>
    </row>
    <row r="17" spans="1:20" ht="18">
      <c r="A17" s="9" t="s">
        <v>71</v>
      </c>
      <c r="B17" s="30">
        <v>1060000000</v>
      </c>
      <c r="C17" s="72">
        <f t="shared" ref="C17:H17" si="7">C18+C21</f>
        <v>150</v>
      </c>
      <c r="D17" s="126">
        <f t="shared" si="7"/>
        <v>0</v>
      </c>
      <c r="E17" s="73">
        <f t="shared" si="7"/>
        <v>150</v>
      </c>
      <c r="F17" s="73">
        <f t="shared" si="7"/>
        <v>0</v>
      </c>
      <c r="G17" s="72">
        <f>G18+G21</f>
        <v>95.5</v>
      </c>
      <c r="H17" s="73">
        <f t="shared" si="7"/>
        <v>111.5</v>
      </c>
      <c r="I17" s="66">
        <f t="shared" si="1"/>
        <v>0.74333333333333329</v>
      </c>
      <c r="J17" s="66">
        <f t="shared" si="4"/>
        <v>0</v>
      </c>
      <c r="K17" s="72">
        <f>K18+K21</f>
        <v>135.19999999999999</v>
      </c>
      <c r="L17" s="66">
        <f t="shared" si="3"/>
        <v>0.8247041420118344</v>
      </c>
      <c r="M17" s="72">
        <f>M18+M21</f>
        <v>16</v>
      </c>
      <c r="N17" s="72">
        <f>N18+N21</f>
        <v>5.0999999999999996</v>
      </c>
      <c r="O17" s="66">
        <f t="shared" si="2"/>
        <v>3.1372549019607847</v>
      </c>
      <c r="P17" s="72">
        <f>P18+P21</f>
        <v>15.299999999999999</v>
      </c>
      <c r="Q17" s="72">
        <f>Q18+Q21</f>
        <v>10.700000000000001</v>
      </c>
      <c r="R17" s="72">
        <f>R18+R21</f>
        <v>15</v>
      </c>
      <c r="S17" s="26"/>
    </row>
    <row r="18" spans="1:20" ht="18">
      <c r="A18" s="13" t="s">
        <v>13</v>
      </c>
      <c r="B18" s="13">
        <v>1060600000</v>
      </c>
      <c r="C18" s="74">
        <f t="shared" ref="C18:H18" si="8">C19+C20</f>
        <v>141</v>
      </c>
      <c r="D18" s="74">
        <f t="shared" si="8"/>
        <v>0</v>
      </c>
      <c r="E18" s="68">
        <f t="shared" si="8"/>
        <v>141</v>
      </c>
      <c r="F18" s="68">
        <f t="shared" si="8"/>
        <v>0</v>
      </c>
      <c r="G18" s="74">
        <f>G19+G20</f>
        <v>87.7</v>
      </c>
      <c r="H18" s="68">
        <f t="shared" si="8"/>
        <v>101</v>
      </c>
      <c r="I18" s="70">
        <f t="shared" si="1"/>
        <v>0.71631205673758869</v>
      </c>
      <c r="J18" s="70">
        <f t="shared" si="4"/>
        <v>0</v>
      </c>
      <c r="K18" s="74">
        <f>K19+K20</f>
        <v>129.19999999999999</v>
      </c>
      <c r="L18" s="70">
        <f t="shared" si="3"/>
        <v>0.78173374613003099</v>
      </c>
      <c r="M18" s="74">
        <f>M19+M20</f>
        <v>13.3</v>
      </c>
      <c r="N18" s="74">
        <f>N19+N20</f>
        <v>4.5</v>
      </c>
      <c r="O18" s="70">
        <f t="shared" si="2"/>
        <v>2.9555555555555557</v>
      </c>
      <c r="P18" s="71">
        <f>P19+P20</f>
        <v>12.2</v>
      </c>
      <c r="Q18" s="71">
        <f>Q19+Q20</f>
        <v>8.9</v>
      </c>
      <c r="R18" s="71">
        <f>R19+R20</f>
        <v>12.3</v>
      </c>
      <c r="S18" s="26"/>
    </row>
    <row r="19" spans="1:20" ht="18">
      <c r="A19" s="13" t="s">
        <v>100</v>
      </c>
      <c r="B19" s="13">
        <v>1060603310</v>
      </c>
      <c r="C19" s="71">
        <v>96</v>
      </c>
      <c r="D19" s="68"/>
      <c r="E19" s="67">
        <f>C19+D19</f>
        <v>96</v>
      </c>
      <c r="F19" s="67"/>
      <c r="G19" s="71">
        <v>65.7</v>
      </c>
      <c r="H19" s="69">
        <f>G19+M19</f>
        <v>74.2</v>
      </c>
      <c r="I19" s="70">
        <f t="shared" si="1"/>
        <v>0.7729166666666667</v>
      </c>
      <c r="J19" s="70">
        <f t="shared" si="4"/>
        <v>0</v>
      </c>
      <c r="K19" s="71">
        <v>74.7</v>
      </c>
      <c r="L19" s="70">
        <f t="shared" si="3"/>
        <v>0.99330655957161984</v>
      </c>
      <c r="M19" s="71">
        <v>8.5</v>
      </c>
      <c r="N19" s="71"/>
      <c r="O19" s="70">
        <f t="shared" si="2"/>
        <v>0</v>
      </c>
      <c r="P19" s="71"/>
      <c r="Q19" s="71"/>
      <c r="R19" s="71"/>
      <c r="S19" s="26"/>
    </row>
    <row r="20" spans="1:20" ht="18">
      <c r="A20" s="13" t="s">
        <v>101</v>
      </c>
      <c r="B20" s="13">
        <v>1060604310</v>
      </c>
      <c r="C20" s="71">
        <v>45</v>
      </c>
      <c r="D20" s="68"/>
      <c r="E20" s="67">
        <f>C20+D20</f>
        <v>45</v>
      </c>
      <c r="F20" s="67"/>
      <c r="G20" s="71">
        <v>22</v>
      </c>
      <c r="H20" s="69">
        <f>G20+M20</f>
        <v>26.8</v>
      </c>
      <c r="I20" s="70">
        <f t="shared" si="1"/>
        <v>0.59555555555555562</v>
      </c>
      <c r="J20" s="70">
        <f t="shared" si="4"/>
        <v>0</v>
      </c>
      <c r="K20" s="71">
        <v>54.5</v>
      </c>
      <c r="L20" s="70">
        <f t="shared" si="3"/>
        <v>0.49174311926605507</v>
      </c>
      <c r="M20" s="71">
        <v>4.8</v>
      </c>
      <c r="N20" s="71">
        <v>4.5</v>
      </c>
      <c r="O20" s="70">
        <f t="shared" si="2"/>
        <v>1.0666666666666667</v>
      </c>
      <c r="P20" s="71">
        <v>12.2</v>
      </c>
      <c r="Q20" s="71">
        <v>8.9</v>
      </c>
      <c r="R20" s="71">
        <v>12.3</v>
      </c>
      <c r="S20" s="172"/>
      <c r="T20" s="158"/>
    </row>
    <row r="21" spans="1:20" ht="18">
      <c r="A21" s="13" t="s">
        <v>12</v>
      </c>
      <c r="B21" s="13">
        <v>1060103010</v>
      </c>
      <c r="C21" s="71">
        <v>9</v>
      </c>
      <c r="D21" s="68"/>
      <c r="E21" s="67">
        <f>C21+D21</f>
        <v>9</v>
      </c>
      <c r="F21" s="67"/>
      <c r="G21" s="71">
        <v>7.8</v>
      </c>
      <c r="H21" s="69">
        <f>G21+M21</f>
        <v>10.5</v>
      </c>
      <c r="I21" s="70">
        <f t="shared" si="1"/>
        <v>1.1666666666666667</v>
      </c>
      <c r="J21" s="70">
        <f t="shared" si="4"/>
        <v>0</v>
      </c>
      <c r="K21" s="71">
        <v>6</v>
      </c>
      <c r="L21" s="70">
        <f t="shared" si="3"/>
        <v>1.75</v>
      </c>
      <c r="M21" s="71">
        <v>2.7</v>
      </c>
      <c r="N21" s="71">
        <v>0.6</v>
      </c>
      <c r="O21" s="70">
        <f t="shared" si="2"/>
        <v>4.5000000000000009</v>
      </c>
      <c r="P21" s="71">
        <v>3.1</v>
      </c>
      <c r="Q21" s="71">
        <v>1.8</v>
      </c>
      <c r="R21" s="71">
        <v>2.7</v>
      </c>
      <c r="S21" s="172"/>
      <c r="T21" s="158"/>
    </row>
    <row r="22" spans="1:20" ht="18">
      <c r="A22" s="30" t="s">
        <v>72</v>
      </c>
      <c r="B22" s="30">
        <v>1080402001</v>
      </c>
      <c r="C22" s="72">
        <v>3</v>
      </c>
      <c r="D22" s="73">
        <v>-2.4</v>
      </c>
      <c r="E22" s="65">
        <f>C22+D22</f>
        <v>0.60000000000000009</v>
      </c>
      <c r="F22" s="65"/>
      <c r="G22" s="72">
        <v>0.5</v>
      </c>
      <c r="H22" s="75">
        <f>G22+M22</f>
        <v>0.8</v>
      </c>
      <c r="I22" s="66">
        <f t="shared" si="1"/>
        <v>1.3333333333333333</v>
      </c>
      <c r="J22" s="66">
        <f t="shared" si="4"/>
        <v>0</v>
      </c>
      <c r="K22" s="72">
        <v>1.9</v>
      </c>
      <c r="L22" s="66">
        <f t="shared" si="3"/>
        <v>0.4210526315789474</v>
      </c>
      <c r="M22" s="72">
        <v>0.3</v>
      </c>
      <c r="N22" s="72"/>
      <c r="O22" s="66">
        <f t="shared" si="2"/>
        <v>0</v>
      </c>
      <c r="P22" s="72"/>
      <c r="Q22" s="72"/>
      <c r="R22" s="72"/>
      <c r="S22" s="26"/>
    </row>
    <row r="23" spans="1:20" ht="2.25" hidden="1" customHeight="1">
      <c r="A23" s="30" t="s">
        <v>73</v>
      </c>
      <c r="B23" s="30">
        <v>1090405010</v>
      </c>
      <c r="C23" s="72"/>
      <c r="D23" s="72"/>
      <c r="E23" s="65">
        <f>C23+D23</f>
        <v>0</v>
      </c>
      <c r="F23" s="65"/>
      <c r="G23" s="72"/>
      <c r="H23" s="75">
        <f>G23+M23</f>
        <v>0</v>
      </c>
      <c r="I23" s="66">
        <f t="shared" si="1"/>
        <v>0</v>
      </c>
      <c r="J23" s="66">
        <f t="shared" si="4"/>
        <v>0</v>
      </c>
      <c r="K23" s="72"/>
      <c r="L23" s="66">
        <f t="shared" si="3"/>
        <v>0</v>
      </c>
      <c r="M23" s="72"/>
      <c r="N23" s="72"/>
      <c r="O23" s="66">
        <f t="shared" si="2"/>
        <v>0</v>
      </c>
      <c r="P23" s="72"/>
      <c r="Q23" s="72"/>
      <c r="R23" s="72"/>
      <c r="S23" s="26"/>
    </row>
    <row r="24" spans="1:20" ht="18">
      <c r="A24" s="14" t="s">
        <v>22</v>
      </c>
      <c r="B24" s="32"/>
      <c r="C24" s="86">
        <f t="shared" ref="C24:H24" si="9">C25+C28+C32+C29+C31+C30</f>
        <v>330</v>
      </c>
      <c r="D24" s="151">
        <f t="shared" si="9"/>
        <v>89.051999999999978</v>
      </c>
      <c r="E24" s="151">
        <f t="shared" si="9"/>
        <v>419.05199999999996</v>
      </c>
      <c r="F24" s="86">
        <f t="shared" si="9"/>
        <v>0</v>
      </c>
      <c r="G24" s="86">
        <f>G25+G28+G32+G29+G31+G30</f>
        <v>369.70000000000005</v>
      </c>
      <c r="H24" s="86">
        <f t="shared" si="9"/>
        <v>446.3</v>
      </c>
      <c r="I24" s="64">
        <f t="shared" si="1"/>
        <v>1.0650229565781812</v>
      </c>
      <c r="J24" s="64">
        <f t="shared" si="4"/>
        <v>0</v>
      </c>
      <c r="K24" s="86">
        <f>K25+K28+K32+K29+K31+K30</f>
        <v>470.2</v>
      </c>
      <c r="L24" s="64">
        <f t="shared" si="3"/>
        <v>0.94917056571671632</v>
      </c>
      <c r="M24" s="86">
        <f>M25+M28+M32+M29+M31+M30</f>
        <v>76.599999999999994</v>
      </c>
      <c r="N24" s="86">
        <f>N25+N28+N32+N29+N31+N30</f>
        <v>73.599999999999994</v>
      </c>
      <c r="O24" s="64">
        <f t="shared" si="2"/>
        <v>1.0407608695652173</v>
      </c>
      <c r="P24" s="76">
        <f>P25+P28+P31</f>
        <v>0</v>
      </c>
      <c r="Q24" s="76">
        <f>Q25+Q28+Q31</f>
        <v>0</v>
      </c>
      <c r="R24" s="76">
        <f>R25+R28+R31</f>
        <v>0</v>
      </c>
      <c r="S24" s="26"/>
    </row>
    <row r="25" spans="1:20" ht="18">
      <c r="A25" s="9" t="s">
        <v>74</v>
      </c>
      <c r="B25" s="30">
        <v>1110000000</v>
      </c>
      <c r="C25" s="72">
        <f t="shared" ref="C25:H25" si="10">C26+C27</f>
        <v>30</v>
      </c>
      <c r="D25" s="72">
        <f t="shared" si="10"/>
        <v>0</v>
      </c>
      <c r="E25" s="72">
        <f t="shared" si="10"/>
        <v>30</v>
      </c>
      <c r="F25" s="72">
        <f t="shared" si="10"/>
        <v>0</v>
      </c>
      <c r="G25" s="72">
        <f>G26+G27</f>
        <v>29.6</v>
      </c>
      <c r="H25" s="72">
        <f t="shared" si="10"/>
        <v>30.799999999999997</v>
      </c>
      <c r="I25" s="87">
        <f t="shared" si="1"/>
        <v>1.0266666666666666</v>
      </c>
      <c r="J25" s="87">
        <f t="shared" si="4"/>
        <v>0</v>
      </c>
      <c r="K25" s="72">
        <f>K26+K27</f>
        <v>30.9</v>
      </c>
      <c r="L25" s="87">
        <f t="shared" si="3"/>
        <v>0.99676375404530737</v>
      </c>
      <c r="M25" s="72">
        <f>M26+M27</f>
        <v>1.2</v>
      </c>
      <c r="N25" s="72">
        <f>N26+N27</f>
        <v>7.4</v>
      </c>
      <c r="O25" s="87">
        <f t="shared" si="2"/>
        <v>0.16216216216216214</v>
      </c>
      <c r="P25" s="72">
        <f>P26+P27</f>
        <v>0</v>
      </c>
      <c r="Q25" s="72">
        <f>Q26+Q27</f>
        <v>0</v>
      </c>
      <c r="R25" s="72">
        <f>R26+R27</f>
        <v>0</v>
      </c>
      <c r="S25" s="26"/>
    </row>
    <row r="26" spans="1:20" ht="24" customHeight="1">
      <c r="A26" s="28" t="s">
        <v>112</v>
      </c>
      <c r="B26" s="180">
        <v>1110507510</v>
      </c>
      <c r="C26" s="71">
        <v>12</v>
      </c>
      <c r="D26" s="68"/>
      <c r="E26" s="71">
        <f>C26+D26</f>
        <v>12</v>
      </c>
      <c r="F26" s="71"/>
      <c r="G26" s="71">
        <v>12.1</v>
      </c>
      <c r="H26" s="68">
        <f t="shared" ref="H26:H31" si="11">G26+M26</f>
        <v>12.1</v>
      </c>
      <c r="I26" s="77">
        <f t="shared" si="1"/>
        <v>1.0083333333333333</v>
      </c>
      <c r="J26" s="77">
        <f t="shared" si="4"/>
        <v>0</v>
      </c>
      <c r="K26" s="71"/>
      <c r="L26" s="77">
        <f t="shared" si="3"/>
        <v>0</v>
      </c>
      <c r="M26" s="71"/>
      <c r="N26" s="71"/>
      <c r="O26" s="77">
        <f t="shared" si="2"/>
        <v>0</v>
      </c>
      <c r="P26" s="71"/>
      <c r="Q26" s="71"/>
      <c r="R26" s="71"/>
      <c r="S26" s="26"/>
    </row>
    <row r="27" spans="1:20" ht="18">
      <c r="A27" s="33" t="s">
        <v>23</v>
      </c>
      <c r="B27" s="13">
        <v>1110904510</v>
      </c>
      <c r="C27" s="71">
        <v>18</v>
      </c>
      <c r="D27" s="83"/>
      <c r="E27" s="71">
        <f>C27+D27</f>
        <v>18</v>
      </c>
      <c r="F27" s="71"/>
      <c r="G27" s="71">
        <v>17.5</v>
      </c>
      <c r="H27" s="68">
        <f t="shared" si="11"/>
        <v>18.7</v>
      </c>
      <c r="I27" s="77">
        <f t="shared" si="1"/>
        <v>1.0388888888888888</v>
      </c>
      <c r="J27" s="77">
        <f t="shared" si="4"/>
        <v>0</v>
      </c>
      <c r="K27" s="71">
        <v>30.9</v>
      </c>
      <c r="L27" s="77">
        <f t="shared" si="3"/>
        <v>0.60517799352750812</v>
      </c>
      <c r="M27" s="71">
        <v>1.2</v>
      </c>
      <c r="N27" s="71">
        <v>7.4</v>
      </c>
      <c r="O27" s="77">
        <f t="shared" si="2"/>
        <v>0.16216216216216214</v>
      </c>
      <c r="P27" s="71"/>
      <c r="Q27" s="71"/>
      <c r="R27" s="71"/>
      <c r="S27" s="26"/>
    </row>
    <row r="28" spans="1:20" ht="18">
      <c r="A28" s="9" t="s">
        <v>38</v>
      </c>
      <c r="B28" s="30">
        <v>1130299510</v>
      </c>
      <c r="C28" s="72">
        <v>300</v>
      </c>
      <c r="D28" s="72">
        <f>85.652+107+7.2-110.8</f>
        <v>89.051999999999978</v>
      </c>
      <c r="E28" s="72">
        <f>C28+D28</f>
        <v>389.05199999999996</v>
      </c>
      <c r="F28" s="72"/>
      <c r="G28" s="72">
        <v>339.8</v>
      </c>
      <c r="H28" s="73">
        <f t="shared" si="11"/>
        <v>415.1</v>
      </c>
      <c r="I28" s="87">
        <f t="shared" si="1"/>
        <v>1.0669524896414877</v>
      </c>
      <c r="J28" s="87">
        <f t="shared" si="4"/>
        <v>0</v>
      </c>
      <c r="K28" s="72">
        <v>438.8</v>
      </c>
      <c r="L28" s="87">
        <f t="shared" si="3"/>
        <v>0.94598906107566094</v>
      </c>
      <c r="M28" s="72">
        <v>75.3</v>
      </c>
      <c r="N28" s="72">
        <v>66.099999999999994</v>
      </c>
      <c r="O28" s="87">
        <f t="shared" si="2"/>
        <v>1.1391830559757943</v>
      </c>
      <c r="P28" s="72"/>
      <c r="Q28" s="72"/>
      <c r="R28" s="72"/>
      <c r="S28" s="26"/>
    </row>
    <row r="29" spans="1:20" ht="18">
      <c r="A29" s="9" t="s">
        <v>75</v>
      </c>
      <c r="B29" s="30">
        <v>1140205310</v>
      </c>
      <c r="C29" s="72"/>
      <c r="D29" s="72"/>
      <c r="E29" s="72">
        <f>C29+D29</f>
        <v>0</v>
      </c>
      <c r="F29" s="72"/>
      <c r="G29" s="72"/>
      <c r="H29" s="73">
        <f t="shared" si="11"/>
        <v>0</v>
      </c>
      <c r="I29" s="87">
        <f>IF(E29&gt;0,H29/E29,0)</f>
        <v>0</v>
      </c>
      <c r="J29" s="87">
        <f>IF(F29&gt;0,H29/F29,0)</f>
        <v>0</v>
      </c>
      <c r="K29" s="72"/>
      <c r="L29" s="87">
        <f t="shared" si="3"/>
        <v>0</v>
      </c>
      <c r="M29" s="72"/>
      <c r="N29" s="72"/>
      <c r="O29" s="87">
        <f t="shared" si="2"/>
        <v>0</v>
      </c>
      <c r="P29" s="72"/>
      <c r="Q29" s="72"/>
      <c r="R29" s="72"/>
      <c r="S29" s="26"/>
    </row>
    <row r="30" spans="1:20" ht="18">
      <c r="A30" s="9" t="s">
        <v>76</v>
      </c>
      <c r="B30" s="30">
        <v>1140601410</v>
      </c>
      <c r="C30" s="72"/>
      <c r="D30" s="72"/>
      <c r="E30" s="72"/>
      <c r="F30" s="72"/>
      <c r="G30" s="72"/>
      <c r="H30" s="73">
        <f t="shared" si="11"/>
        <v>0</v>
      </c>
      <c r="I30" s="87">
        <f>IF(E30&gt;0,H30/E30,0)</f>
        <v>0</v>
      </c>
      <c r="J30" s="87">
        <f>IF(F30&gt;0,H30/F30,0)</f>
        <v>0</v>
      </c>
      <c r="K30" s="72"/>
      <c r="L30" s="87">
        <f t="shared" si="3"/>
        <v>0</v>
      </c>
      <c r="M30" s="72"/>
      <c r="N30" s="72"/>
      <c r="O30" s="87">
        <f t="shared" si="2"/>
        <v>0</v>
      </c>
      <c r="P30" s="72"/>
      <c r="Q30" s="72"/>
      <c r="R30" s="72"/>
      <c r="S30" s="26"/>
    </row>
    <row r="31" spans="1:20" ht="18">
      <c r="A31" s="9" t="s">
        <v>77</v>
      </c>
      <c r="B31" s="30">
        <v>1169005010</v>
      </c>
      <c r="C31" s="72"/>
      <c r="D31" s="72"/>
      <c r="E31" s="73">
        <f>C31+D31</f>
        <v>0</v>
      </c>
      <c r="F31" s="73"/>
      <c r="G31" s="72"/>
      <c r="H31" s="73">
        <f t="shared" si="11"/>
        <v>0</v>
      </c>
      <c r="I31" s="87">
        <f>IF(E31&gt;0,H31/E31,0)</f>
        <v>0</v>
      </c>
      <c r="J31" s="87">
        <f>IF(F31&gt;0,H31/F31,0)</f>
        <v>0</v>
      </c>
      <c r="K31" s="72"/>
      <c r="L31" s="87">
        <f t="shared" si="3"/>
        <v>0</v>
      </c>
      <c r="M31" s="72"/>
      <c r="N31" s="72"/>
      <c r="O31" s="87">
        <f t="shared" si="2"/>
        <v>0</v>
      </c>
      <c r="P31" s="72"/>
      <c r="Q31" s="72"/>
      <c r="R31" s="72"/>
      <c r="S31" s="26"/>
    </row>
    <row r="32" spans="1:20" ht="18">
      <c r="A32" s="9" t="s">
        <v>69</v>
      </c>
      <c r="B32" s="30">
        <v>1170000000</v>
      </c>
      <c r="C32" s="72">
        <f>SUM(C33:C34)</f>
        <v>0</v>
      </c>
      <c r="D32" s="72">
        <f t="shared" ref="D32:R32" si="12">SUM(D33:D34)</f>
        <v>0</v>
      </c>
      <c r="E32" s="72">
        <f t="shared" si="12"/>
        <v>0</v>
      </c>
      <c r="F32" s="72">
        <f t="shared" si="12"/>
        <v>0</v>
      </c>
      <c r="G32" s="72">
        <f>SUM(G33:G34)</f>
        <v>0.3</v>
      </c>
      <c r="H32" s="72">
        <f t="shared" si="12"/>
        <v>0.4</v>
      </c>
      <c r="I32" s="87">
        <f>IF(E32&gt;0,H32/E32,0)</f>
        <v>0</v>
      </c>
      <c r="J32" s="87">
        <f>IF(F32&gt;0,H32/F32,0)</f>
        <v>0</v>
      </c>
      <c r="K32" s="72">
        <f>SUM(K33:K34)</f>
        <v>0.5</v>
      </c>
      <c r="L32" s="87">
        <f t="shared" si="3"/>
        <v>0.8</v>
      </c>
      <c r="M32" s="72">
        <f>SUM(M33:M34)</f>
        <v>0.1</v>
      </c>
      <c r="N32" s="72">
        <f>SUM(N33:N34)</f>
        <v>0.1</v>
      </c>
      <c r="O32" s="72">
        <f t="shared" si="12"/>
        <v>1</v>
      </c>
      <c r="P32" s="72">
        <f t="shared" si="12"/>
        <v>0</v>
      </c>
      <c r="Q32" s="72">
        <f>SUM(Q33:Q34)</f>
        <v>0</v>
      </c>
      <c r="R32" s="72">
        <f t="shared" si="12"/>
        <v>0</v>
      </c>
      <c r="S32" s="173"/>
      <c r="T32" s="158"/>
    </row>
    <row r="33" spans="1:19" ht="18">
      <c r="A33" s="13" t="s">
        <v>8</v>
      </c>
      <c r="B33" s="13">
        <v>1170103003</v>
      </c>
      <c r="C33" s="71"/>
      <c r="D33" s="71"/>
      <c r="E33" s="71">
        <f>C33+D33</f>
        <v>0</v>
      </c>
      <c r="F33" s="71"/>
      <c r="G33" s="71"/>
      <c r="H33" s="68">
        <f>G33+M33</f>
        <v>0</v>
      </c>
      <c r="I33" s="77">
        <f t="shared" si="1"/>
        <v>0</v>
      </c>
      <c r="J33" s="77">
        <f t="shared" si="4"/>
        <v>0</v>
      </c>
      <c r="K33" s="71"/>
      <c r="L33" s="77">
        <f t="shared" si="3"/>
        <v>0</v>
      </c>
      <c r="M33" s="71"/>
      <c r="N33" s="71"/>
      <c r="O33" s="77">
        <f t="shared" ref="O33:O39" si="13">IF(N33&gt;0,M33/N33,0)</f>
        <v>0</v>
      </c>
      <c r="P33" s="77"/>
      <c r="Q33" s="77"/>
      <c r="R33" s="77"/>
      <c r="S33" s="26"/>
    </row>
    <row r="34" spans="1:19" ht="18">
      <c r="A34" s="13" t="s">
        <v>33</v>
      </c>
      <c r="B34" s="13">
        <v>1170505010</v>
      </c>
      <c r="C34" s="71"/>
      <c r="D34" s="68"/>
      <c r="E34" s="71">
        <f>C34+D34</f>
        <v>0</v>
      </c>
      <c r="F34" s="71"/>
      <c r="G34" s="71">
        <v>0.3</v>
      </c>
      <c r="H34" s="68">
        <f>G34+M34</f>
        <v>0.4</v>
      </c>
      <c r="I34" s="77">
        <f>IF(E34&gt;0,H34/E34,0)</f>
        <v>0</v>
      </c>
      <c r="J34" s="77">
        <f>IF(F34&gt;0,H34/F34,0)</f>
        <v>0</v>
      </c>
      <c r="K34" s="71">
        <v>0.5</v>
      </c>
      <c r="L34" s="77">
        <f>IF(K34&gt;0,H34/K34,0)</f>
        <v>0.8</v>
      </c>
      <c r="M34" s="71">
        <v>0.1</v>
      </c>
      <c r="N34" s="71">
        <v>0.1</v>
      </c>
      <c r="O34" s="77">
        <f t="shared" si="13"/>
        <v>1</v>
      </c>
      <c r="P34" s="71"/>
      <c r="Q34" s="71"/>
      <c r="R34" s="71"/>
      <c r="S34" s="26"/>
    </row>
    <row r="35" spans="1:19" ht="18">
      <c r="A35" s="9" t="s">
        <v>6</v>
      </c>
      <c r="B35" s="9">
        <v>1000000000</v>
      </c>
      <c r="C35" s="78">
        <f t="shared" ref="C35:H35" si="14">C5+C24</f>
        <v>1329.8000000000002</v>
      </c>
      <c r="D35" s="78">
        <f t="shared" si="14"/>
        <v>131.40499999999997</v>
      </c>
      <c r="E35" s="78">
        <f t="shared" si="14"/>
        <v>1461.2049999999999</v>
      </c>
      <c r="F35" s="79" t="e">
        <f t="shared" si="14"/>
        <v>#REF!</v>
      </c>
      <c r="G35" s="79">
        <f>G5+G24</f>
        <v>1340.1000000000001</v>
      </c>
      <c r="H35" s="79">
        <f t="shared" si="14"/>
        <v>1532.9999999999998</v>
      </c>
      <c r="I35" s="80">
        <f t="shared" si="1"/>
        <v>1.0491341050708147</v>
      </c>
      <c r="J35" s="80" t="e">
        <f t="shared" si="4"/>
        <v>#REF!</v>
      </c>
      <c r="K35" s="79">
        <f>K5+K24</f>
        <v>1385.3</v>
      </c>
      <c r="L35" s="80">
        <f t="shared" si="3"/>
        <v>1.1066195048004042</v>
      </c>
      <c r="M35" s="79">
        <f>M5+M24</f>
        <v>192.89999999999998</v>
      </c>
      <c r="N35" s="79">
        <f>N5+N24</f>
        <v>148.9</v>
      </c>
      <c r="O35" s="80">
        <f t="shared" si="13"/>
        <v>1.2955003357958359</v>
      </c>
      <c r="P35" s="79">
        <f>P5+P24</f>
        <v>15.999999999999998</v>
      </c>
      <c r="Q35" s="79">
        <f>Q5+Q24</f>
        <v>12.600000000000001</v>
      </c>
      <c r="R35" s="79">
        <f>R5+R24</f>
        <v>47.3</v>
      </c>
      <c r="S35" s="26"/>
    </row>
    <row r="36" spans="1:19" ht="18">
      <c r="A36" s="9" t="s">
        <v>92</v>
      </c>
      <c r="B36" s="9"/>
      <c r="C36" s="79">
        <f t="shared" ref="C36:H36" si="15">C35-C10</f>
        <v>925.70000000000016</v>
      </c>
      <c r="D36" s="78">
        <f t="shared" si="15"/>
        <v>131.40499999999997</v>
      </c>
      <c r="E36" s="78">
        <f t="shared" si="15"/>
        <v>1057.105</v>
      </c>
      <c r="F36" s="79" t="e">
        <f t="shared" si="15"/>
        <v>#REF!</v>
      </c>
      <c r="G36" s="79">
        <f>G35-G10</f>
        <v>913.60000000000014</v>
      </c>
      <c r="H36" s="79">
        <f t="shared" si="15"/>
        <v>1068.2999999999997</v>
      </c>
      <c r="I36" s="80">
        <f>IF(E36&gt;0,H36/E36,0)</f>
        <v>1.0105902441100929</v>
      </c>
      <c r="J36" s="80" t="e">
        <f>IF(F36&gt;0,H36/F36,0)</f>
        <v>#REF!</v>
      </c>
      <c r="K36" s="79">
        <f>K35-K10</f>
        <v>996.09999999999991</v>
      </c>
      <c r="L36" s="80">
        <f t="shared" si="3"/>
        <v>1.0724826824616001</v>
      </c>
      <c r="M36" s="79">
        <f>M35-M10</f>
        <v>154.69999999999999</v>
      </c>
      <c r="N36" s="79">
        <f>N35-N10</f>
        <v>114.30000000000001</v>
      </c>
      <c r="O36" s="80">
        <f t="shared" si="13"/>
        <v>1.3534558180227469</v>
      </c>
      <c r="P36" s="79"/>
      <c r="Q36" s="79"/>
      <c r="R36" s="79"/>
      <c r="S36" s="26"/>
    </row>
    <row r="37" spans="1:19" ht="18">
      <c r="A37" s="13" t="s">
        <v>36</v>
      </c>
      <c r="B37" s="13">
        <v>2000000000</v>
      </c>
      <c r="C37" s="71">
        <v>2839.8</v>
      </c>
      <c r="D37" s="83">
        <f>80+5.5+95+257+75</f>
        <v>512.5</v>
      </c>
      <c r="E37" s="81">
        <f>C37+D37</f>
        <v>3352.3</v>
      </c>
      <c r="F37" s="67"/>
      <c r="G37" s="71">
        <v>2676.7</v>
      </c>
      <c r="H37" s="68">
        <f>G37+M37</f>
        <v>3327.2999999999997</v>
      </c>
      <c r="I37" s="70">
        <f t="shared" si="1"/>
        <v>0.9925424335530828</v>
      </c>
      <c r="J37" s="70">
        <f t="shared" si="4"/>
        <v>0</v>
      </c>
      <c r="K37" s="71">
        <v>2813.1</v>
      </c>
      <c r="L37" s="70">
        <f t="shared" si="3"/>
        <v>1.1827876719633144</v>
      </c>
      <c r="M37" s="71">
        <v>650.6</v>
      </c>
      <c r="N37" s="71">
        <v>328</v>
      </c>
      <c r="O37" s="70">
        <f t="shared" si="13"/>
        <v>1.9835365853658538</v>
      </c>
      <c r="P37" s="71"/>
      <c r="Q37" s="71"/>
      <c r="R37" s="71"/>
      <c r="S37" s="174"/>
    </row>
    <row r="38" spans="1:19" ht="18">
      <c r="A38" s="13" t="s">
        <v>46</v>
      </c>
      <c r="B38" s="34" t="s">
        <v>37</v>
      </c>
      <c r="C38" s="71"/>
      <c r="D38" s="83"/>
      <c r="E38" s="67">
        <f>C38+D38</f>
        <v>0</v>
      </c>
      <c r="F38" s="67"/>
      <c r="G38" s="71"/>
      <c r="H38" s="68">
        <f>G38+M38</f>
        <v>0</v>
      </c>
      <c r="I38" s="70">
        <f>IF(E38&gt;0,H38/E38,0)</f>
        <v>0</v>
      </c>
      <c r="J38" s="70">
        <f>IF(F38&gt;0,H38/F38,0)</f>
        <v>0</v>
      </c>
      <c r="K38" s="71"/>
      <c r="L38" s="70">
        <f t="shared" si="3"/>
        <v>0</v>
      </c>
      <c r="M38" s="71"/>
      <c r="N38" s="71"/>
      <c r="O38" s="70">
        <f t="shared" si="13"/>
        <v>0</v>
      </c>
      <c r="P38" s="71"/>
      <c r="Q38" s="71"/>
      <c r="R38" s="71"/>
      <c r="S38" s="26"/>
    </row>
    <row r="39" spans="1:19" ht="18">
      <c r="A39" s="9" t="s">
        <v>2</v>
      </c>
      <c r="B39" s="9">
        <v>0</v>
      </c>
      <c r="C39" s="78">
        <f t="shared" ref="C39:H39" si="16">C35+C37+C38</f>
        <v>4169.6000000000004</v>
      </c>
      <c r="D39" s="78">
        <f t="shared" si="16"/>
        <v>643.90499999999997</v>
      </c>
      <c r="E39" s="78">
        <f t="shared" si="16"/>
        <v>4813.5050000000001</v>
      </c>
      <c r="F39" s="79" t="e">
        <f t="shared" si="16"/>
        <v>#REF!</v>
      </c>
      <c r="G39" s="79">
        <f t="shared" si="16"/>
        <v>4016.8</v>
      </c>
      <c r="H39" s="79">
        <f t="shared" si="16"/>
        <v>4860.2999999999993</v>
      </c>
      <c r="I39" s="80">
        <f t="shared" si="1"/>
        <v>1.0097216061892527</v>
      </c>
      <c r="J39" s="80" t="e">
        <f t="shared" si="4"/>
        <v>#REF!</v>
      </c>
      <c r="K39" s="79">
        <f>K35+K37+K38</f>
        <v>4198.3999999999996</v>
      </c>
      <c r="L39" s="80">
        <f t="shared" si="3"/>
        <v>1.1576552972560974</v>
      </c>
      <c r="M39" s="88">
        <f>M35+M37+M38</f>
        <v>843.5</v>
      </c>
      <c r="N39" s="79">
        <f>N35+N37+N38</f>
        <v>476.9</v>
      </c>
      <c r="O39" s="80">
        <f t="shared" si="13"/>
        <v>1.7687146152233173</v>
      </c>
      <c r="P39" s="79">
        <f>P35+P37</f>
        <v>15.999999999999998</v>
      </c>
      <c r="Q39" s="79">
        <f>Q35+Q37</f>
        <v>12.600000000000001</v>
      </c>
      <c r="R39" s="79">
        <f>R35+R37</f>
        <v>47.3</v>
      </c>
      <c r="S39" s="26"/>
    </row>
  </sheetData>
  <mergeCells count="15">
    <mergeCell ref="C1:M1"/>
    <mergeCell ref="B2:R2"/>
    <mergeCell ref="G3:G4"/>
    <mergeCell ref="K3:L3"/>
    <mergeCell ref="H3:J3"/>
    <mergeCell ref="P3:R3"/>
    <mergeCell ref="N3:N4"/>
    <mergeCell ref="F3:F4"/>
    <mergeCell ref="O3:O4"/>
    <mergeCell ref="M3:M4"/>
    <mergeCell ref="A3:A4"/>
    <mergeCell ref="B3:B4"/>
    <mergeCell ref="C3:C4"/>
    <mergeCell ref="E3:E4"/>
    <mergeCell ref="D3:D4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1"/>
  <sheetViews>
    <sheetView zoomScaleNormal="100" workbookViewId="0">
      <pane xSplit="2" ySplit="4" topLeftCell="C15" activePane="bottomRight" state="frozen"/>
      <selection pane="topRight" activeCell="D1" sqref="D1"/>
      <selection pane="bottomLeft" activeCell="A5" sqref="A5"/>
      <selection pane="bottomRight" activeCell="R12" sqref="R12"/>
    </sheetView>
  </sheetViews>
  <sheetFormatPr defaultRowHeight="12.75"/>
  <cols>
    <col min="1" max="1" width="40" customWidth="1"/>
    <col min="2" max="2" width="14.5703125" customWidth="1"/>
    <col min="3" max="3" width="13.28515625" customWidth="1"/>
    <col min="4" max="4" width="14" customWidth="1"/>
    <col min="5" max="5" width="14.5703125" customWidth="1"/>
    <col min="6" max="6" width="10.7109375" hidden="1" customWidth="1"/>
    <col min="7" max="7" width="12.140625" customWidth="1"/>
    <col min="8" max="8" width="13.28515625" customWidth="1"/>
    <col min="9" max="9" width="12.28515625" customWidth="1"/>
    <col min="10" max="10" width="0.140625" customWidth="1"/>
    <col min="11" max="11" width="10.42578125" customWidth="1"/>
    <col min="12" max="12" width="13.85546875" customWidth="1"/>
    <col min="13" max="13" width="11" customWidth="1"/>
    <col min="14" max="14" width="9.5703125" customWidth="1"/>
    <col min="15" max="15" width="13.85546875" customWidth="1"/>
    <col min="16" max="16" width="10.5703125" customWidth="1"/>
    <col min="17" max="17" width="10.28515625" customWidth="1"/>
    <col min="18" max="18" width="10.140625" customWidth="1"/>
  </cols>
  <sheetData>
    <row r="1" spans="1:18" ht="15.75">
      <c r="A1" s="26"/>
      <c r="B1" s="48"/>
      <c r="C1" s="194" t="s">
        <v>11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49"/>
      <c r="O1" s="49"/>
      <c r="P1" s="26"/>
      <c r="Q1" s="26"/>
      <c r="R1" s="26"/>
    </row>
    <row r="2" spans="1:18" ht="15.75">
      <c r="A2" s="26"/>
      <c r="B2" s="199" t="s">
        <v>131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13.5" customHeight="1">
      <c r="A3" s="189" t="s">
        <v>3</v>
      </c>
      <c r="B3" s="189" t="s">
        <v>4</v>
      </c>
      <c r="C3" s="189" t="s">
        <v>115</v>
      </c>
      <c r="D3" s="189" t="s">
        <v>24</v>
      </c>
      <c r="E3" s="189" t="s">
        <v>116</v>
      </c>
      <c r="F3" s="189" t="s">
        <v>99</v>
      </c>
      <c r="G3" s="189" t="s">
        <v>122</v>
      </c>
      <c r="H3" s="189" t="s">
        <v>117</v>
      </c>
      <c r="I3" s="189"/>
      <c r="J3" s="189"/>
      <c r="K3" s="189" t="s">
        <v>113</v>
      </c>
      <c r="L3" s="189"/>
      <c r="M3" s="189" t="s">
        <v>126</v>
      </c>
      <c r="N3" s="189" t="s">
        <v>127</v>
      </c>
      <c r="O3" s="189" t="s">
        <v>30</v>
      </c>
      <c r="P3" s="189" t="s">
        <v>9</v>
      </c>
      <c r="Q3" s="189"/>
      <c r="R3" s="189"/>
    </row>
    <row r="4" spans="1:18" ht="93.75" customHeight="1">
      <c r="A4" s="198"/>
      <c r="B4" s="198"/>
      <c r="C4" s="189"/>
      <c r="D4" s="189"/>
      <c r="E4" s="189"/>
      <c r="F4" s="189"/>
      <c r="G4" s="189"/>
      <c r="H4" s="185" t="s">
        <v>125</v>
      </c>
      <c r="I4" s="185" t="s">
        <v>10</v>
      </c>
      <c r="J4" s="185" t="s">
        <v>29</v>
      </c>
      <c r="K4" s="185" t="s">
        <v>125</v>
      </c>
      <c r="L4" s="185" t="s">
        <v>30</v>
      </c>
      <c r="M4" s="189"/>
      <c r="N4" s="189"/>
      <c r="O4" s="189"/>
      <c r="P4" s="122" t="s">
        <v>118</v>
      </c>
      <c r="Q4" s="122" t="s">
        <v>123</v>
      </c>
      <c r="R4" s="122" t="s">
        <v>128</v>
      </c>
    </row>
    <row r="5" spans="1:18" ht="19.5" customHeight="1">
      <c r="A5" s="29" t="s">
        <v>21</v>
      </c>
      <c r="B5" s="29"/>
      <c r="C5" s="89">
        <f t="shared" ref="C5:H5" si="0">C6+C15+C17+C22+C23+C10</f>
        <v>1483.9</v>
      </c>
      <c r="D5" s="89">
        <f t="shared" si="0"/>
        <v>59</v>
      </c>
      <c r="E5" s="140">
        <f t="shared" si="0"/>
        <v>1542.9</v>
      </c>
      <c r="F5" s="89" t="e">
        <f t="shared" si="0"/>
        <v>#REF!</v>
      </c>
      <c r="G5" s="89">
        <f t="shared" si="0"/>
        <v>1539.3000000000002</v>
      </c>
      <c r="H5" s="89">
        <f t="shared" si="0"/>
        <v>1698.8000000000002</v>
      </c>
      <c r="I5" s="90">
        <f t="shared" ref="I5:I40" si="1">IF(E5&gt;0,H5/E5,0)</f>
        <v>1.1010434895326981</v>
      </c>
      <c r="J5" s="90" t="e">
        <f>IF(F5&gt;0,H5/F5,0)</f>
        <v>#REF!</v>
      </c>
      <c r="K5" s="89">
        <f>K6+K15+K17+K22+K23+K10</f>
        <v>1481.3999999999999</v>
      </c>
      <c r="L5" s="90">
        <f>IF(K5&gt;0,H5/K5,0)</f>
        <v>1.1467530714189282</v>
      </c>
      <c r="M5" s="89">
        <f>M6+M15+M17+M22+M23+M10</f>
        <v>159.5</v>
      </c>
      <c r="N5" s="89">
        <f>N6+N15+N17+N22+N23+N10</f>
        <v>156.80000000000001</v>
      </c>
      <c r="O5" s="90">
        <f t="shared" ref="O5:O33" si="2">IF(N5&gt;0,M5/N5,0)</f>
        <v>1.0172193877551019</v>
      </c>
      <c r="P5" s="89">
        <f>P6+P15+P17+P22+P23+P10</f>
        <v>25.8</v>
      </c>
      <c r="Q5" s="89">
        <f>Q6+Q15+Q17+Q22+Q23+Q10</f>
        <v>15.7</v>
      </c>
      <c r="R5" s="89">
        <f>R6+R15+R17+R22+R23+R10</f>
        <v>36.200000000000003</v>
      </c>
    </row>
    <row r="6" spans="1:18" ht="18">
      <c r="A6" s="9" t="s">
        <v>63</v>
      </c>
      <c r="B6" s="30">
        <v>1010200001</v>
      </c>
      <c r="C6" s="72">
        <f>C7+C8+C9</f>
        <v>590.9</v>
      </c>
      <c r="D6" s="72">
        <f>D7+D8+D9</f>
        <v>59</v>
      </c>
      <c r="E6" s="72">
        <f>E7+E8+E9</f>
        <v>649.9</v>
      </c>
      <c r="F6" s="72" t="e">
        <f>F7+F8+F9+#REF!</f>
        <v>#REF!</v>
      </c>
      <c r="G6" s="72">
        <f>G7+G8+G9</f>
        <v>597.5</v>
      </c>
      <c r="H6" s="72">
        <f>H7+H8+H9</f>
        <v>664.7</v>
      </c>
      <c r="I6" s="87">
        <f t="shared" si="1"/>
        <v>1.0227727342668105</v>
      </c>
      <c r="J6" s="87" t="e">
        <f>IF(F6&gt;0,H6/F6,0)</f>
        <v>#REF!</v>
      </c>
      <c r="K6" s="72">
        <f>K7+K8+K9</f>
        <v>586.9</v>
      </c>
      <c r="L6" s="87">
        <f t="shared" ref="L6:L40" si="3">IF(K6&gt;0,H6/K6,0)</f>
        <v>1.13256091327313</v>
      </c>
      <c r="M6" s="72">
        <f>M7+M8+M9</f>
        <v>67.2</v>
      </c>
      <c r="N6" s="72">
        <f>N7+N8+N9</f>
        <v>72.3</v>
      </c>
      <c r="O6" s="87">
        <f t="shared" si="2"/>
        <v>0.9294605809128631</v>
      </c>
      <c r="P6" s="72">
        <f>P7+P8+P9</f>
        <v>0.2</v>
      </c>
      <c r="Q6" s="72">
        <f>Q7+Q8+Q9</f>
        <v>1</v>
      </c>
      <c r="R6" s="72">
        <f>R7+R8+R9</f>
        <v>13.5</v>
      </c>
    </row>
    <row r="7" spans="1:18" ht="18" customHeight="1">
      <c r="A7" s="10" t="s">
        <v>44</v>
      </c>
      <c r="B7" s="13">
        <v>1010201001</v>
      </c>
      <c r="C7" s="71">
        <v>590.9</v>
      </c>
      <c r="D7" s="83">
        <v>13.5</v>
      </c>
      <c r="E7" s="71">
        <f>C7+D7</f>
        <v>604.4</v>
      </c>
      <c r="F7" s="71"/>
      <c r="G7" s="68">
        <v>552</v>
      </c>
      <c r="H7" s="68">
        <f>G7+M7</f>
        <v>619.20000000000005</v>
      </c>
      <c r="I7" s="77">
        <f t="shared" si="1"/>
        <v>1.0244870946393119</v>
      </c>
      <c r="J7" s="77">
        <f t="shared" ref="J7:J40" si="4">IF(F7&gt;0,H7/F7,0)</f>
        <v>0</v>
      </c>
      <c r="K7" s="68">
        <v>586.5</v>
      </c>
      <c r="L7" s="77">
        <f t="shared" si="3"/>
        <v>1.0557544757033248</v>
      </c>
      <c r="M7" s="68">
        <v>67.2</v>
      </c>
      <c r="N7" s="68">
        <v>72.3</v>
      </c>
      <c r="O7" s="77">
        <f t="shared" si="2"/>
        <v>0.9294605809128631</v>
      </c>
      <c r="P7" s="71"/>
      <c r="Q7" s="71">
        <v>1</v>
      </c>
      <c r="R7" s="71"/>
    </row>
    <row r="8" spans="1:18" ht="17.25" customHeight="1">
      <c r="A8" s="10" t="s">
        <v>43</v>
      </c>
      <c r="B8" s="13">
        <v>1010202001</v>
      </c>
      <c r="C8" s="71"/>
      <c r="D8" s="68"/>
      <c r="E8" s="71">
        <f>C8+D8</f>
        <v>0</v>
      </c>
      <c r="F8" s="71"/>
      <c r="G8" s="71"/>
      <c r="H8" s="68">
        <f>G8+M8</f>
        <v>0</v>
      </c>
      <c r="I8" s="77">
        <f t="shared" si="1"/>
        <v>0</v>
      </c>
      <c r="J8" s="77">
        <f t="shared" si="4"/>
        <v>0</v>
      </c>
      <c r="K8" s="71"/>
      <c r="L8" s="77">
        <f>IF(K8&gt;0,H8/K8,0)</f>
        <v>0</v>
      </c>
      <c r="M8" s="71"/>
      <c r="N8" s="71"/>
      <c r="O8" s="77">
        <f>IF(N8&gt;0,M8/N8,0)</f>
        <v>0</v>
      </c>
      <c r="P8" s="71"/>
      <c r="Q8" s="71"/>
      <c r="R8" s="71"/>
    </row>
    <row r="9" spans="1:18" ht="17.25" customHeight="1">
      <c r="A9" s="10" t="s">
        <v>42</v>
      </c>
      <c r="B9" s="13">
        <v>1010203001</v>
      </c>
      <c r="C9" s="71"/>
      <c r="D9" s="71">
        <v>45.5</v>
      </c>
      <c r="E9" s="71">
        <f>C9+D9</f>
        <v>45.5</v>
      </c>
      <c r="F9" s="71"/>
      <c r="G9" s="71">
        <v>45.5</v>
      </c>
      <c r="H9" s="68">
        <f>G9+M9</f>
        <v>45.5</v>
      </c>
      <c r="I9" s="77">
        <f t="shared" si="1"/>
        <v>1</v>
      </c>
      <c r="J9" s="77">
        <f t="shared" si="4"/>
        <v>0</v>
      </c>
      <c r="K9" s="71">
        <v>0.4</v>
      </c>
      <c r="L9" s="77">
        <f t="shared" si="3"/>
        <v>113.75</v>
      </c>
      <c r="M9" s="71"/>
      <c r="N9" s="71"/>
      <c r="O9" s="77">
        <f t="shared" si="2"/>
        <v>0</v>
      </c>
      <c r="P9" s="71">
        <v>0.2</v>
      </c>
      <c r="Q9" s="71"/>
      <c r="R9" s="71">
        <v>13.5</v>
      </c>
    </row>
    <row r="10" spans="1:18" ht="18" customHeight="1">
      <c r="A10" s="11" t="s">
        <v>48</v>
      </c>
      <c r="B10" s="19">
        <v>1030200001</v>
      </c>
      <c r="C10" s="72">
        <f t="shared" ref="C10:H10" si="5">SUM(C11:C14)</f>
        <v>728</v>
      </c>
      <c r="D10" s="72">
        <f t="shared" si="5"/>
        <v>0</v>
      </c>
      <c r="E10" s="72">
        <f t="shared" si="5"/>
        <v>728</v>
      </c>
      <c r="F10" s="72"/>
      <c r="G10" s="72">
        <f>SUM(G11:G14)</f>
        <v>773</v>
      </c>
      <c r="H10" s="72">
        <f t="shared" si="5"/>
        <v>842.30000000000007</v>
      </c>
      <c r="I10" s="66">
        <f t="shared" si="1"/>
        <v>1.1570054945054946</v>
      </c>
      <c r="J10" s="66">
        <f>IF(F10&gt;0,H10/F10,0)</f>
        <v>0</v>
      </c>
      <c r="K10" s="72">
        <f>SUM(K11:K14)</f>
        <v>705.3</v>
      </c>
      <c r="L10" s="66">
        <f t="shared" si="3"/>
        <v>1.1942435842903731</v>
      </c>
      <c r="M10" s="72">
        <f>SUM(M11:M14)</f>
        <v>69.300000000000011</v>
      </c>
      <c r="N10" s="72">
        <f>SUM(N11:N14)</f>
        <v>62.6</v>
      </c>
      <c r="O10" s="66">
        <f t="shared" si="2"/>
        <v>1.1070287539936103</v>
      </c>
      <c r="P10" s="72">
        <f>SUM(P11:P14)</f>
        <v>0</v>
      </c>
      <c r="Q10" s="72">
        <f>SUM(Q11:Q14)</f>
        <v>0</v>
      </c>
      <c r="R10" s="72">
        <f>SUM(R11:R14)</f>
        <v>0</v>
      </c>
    </row>
    <row r="11" spans="1:18" ht="19.5" customHeight="1">
      <c r="A11" s="12" t="s">
        <v>49</v>
      </c>
      <c r="B11" s="12">
        <v>1030223101</v>
      </c>
      <c r="C11" s="71">
        <v>329.2</v>
      </c>
      <c r="D11" s="71"/>
      <c r="E11" s="67">
        <f>C11+D11</f>
        <v>329.2</v>
      </c>
      <c r="F11" s="67"/>
      <c r="G11" s="71">
        <v>386.2</v>
      </c>
      <c r="H11" s="69">
        <f>G11+M11</f>
        <v>422.2</v>
      </c>
      <c r="I11" s="70">
        <f t="shared" si="1"/>
        <v>1.2825030376670716</v>
      </c>
      <c r="J11" s="70"/>
      <c r="K11" s="71">
        <v>325.60000000000002</v>
      </c>
      <c r="L11" s="70">
        <f t="shared" si="3"/>
        <v>1.2966830466830466</v>
      </c>
      <c r="M11" s="71">
        <v>36</v>
      </c>
      <c r="N11" s="71">
        <v>31</v>
      </c>
      <c r="O11" s="70">
        <f t="shared" si="2"/>
        <v>1.1612903225806452</v>
      </c>
      <c r="P11" s="71"/>
      <c r="Q11" s="71"/>
      <c r="R11" s="71"/>
    </row>
    <row r="12" spans="1:18" ht="17.25" customHeight="1">
      <c r="A12" s="12" t="s">
        <v>50</v>
      </c>
      <c r="B12" s="12">
        <v>1030224101</v>
      </c>
      <c r="C12" s="71">
        <v>1.8</v>
      </c>
      <c r="D12" s="71"/>
      <c r="E12" s="67">
        <f>C12+D12</f>
        <v>1.8</v>
      </c>
      <c r="F12" s="67"/>
      <c r="G12" s="71">
        <v>2.2000000000000002</v>
      </c>
      <c r="H12" s="69">
        <f>G12+M12</f>
        <v>2.3000000000000003</v>
      </c>
      <c r="I12" s="70">
        <f t="shared" si="1"/>
        <v>1.2777777777777779</v>
      </c>
      <c r="J12" s="70"/>
      <c r="K12" s="71">
        <v>2.2999999999999998</v>
      </c>
      <c r="L12" s="70">
        <f t="shared" si="3"/>
        <v>1.0000000000000002</v>
      </c>
      <c r="M12" s="71">
        <v>0.1</v>
      </c>
      <c r="N12" s="71">
        <v>0.2</v>
      </c>
      <c r="O12" s="70">
        <f t="shared" si="2"/>
        <v>0.5</v>
      </c>
      <c r="P12" s="71"/>
      <c r="Q12" s="71"/>
      <c r="R12" s="71"/>
    </row>
    <row r="13" spans="1:18" ht="18" customHeight="1">
      <c r="A13" s="12" t="s">
        <v>90</v>
      </c>
      <c r="B13" s="12">
        <v>1030225101</v>
      </c>
      <c r="C13" s="71">
        <v>438.3</v>
      </c>
      <c r="D13" s="71"/>
      <c r="E13" s="67">
        <f>C13+D13</f>
        <v>438.3</v>
      </c>
      <c r="F13" s="67"/>
      <c r="G13" s="71">
        <v>429.9</v>
      </c>
      <c r="H13" s="69">
        <f>G13+M13</f>
        <v>466.2</v>
      </c>
      <c r="I13" s="70">
        <f t="shared" si="1"/>
        <v>1.0636550308008212</v>
      </c>
      <c r="J13" s="70"/>
      <c r="K13" s="71">
        <v>432.9</v>
      </c>
      <c r="L13" s="70">
        <f t="shared" si="3"/>
        <v>1.0769230769230769</v>
      </c>
      <c r="M13" s="71">
        <v>36.299999999999997</v>
      </c>
      <c r="N13" s="71">
        <v>37</v>
      </c>
      <c r="O13" s="70">
        <f t="shared" si="2"/>
        <v>0.98108108108108105</v>
      </c>
      <c r="P13" s="71"/>
      <c r="Q13" s="71"/>
      <c r="R13" s="71"/>
    </row>
    <row r="14" spans="1:18" ht="17.25" customHeight="1">
      <c r="A14" s="12" t="s">
        <v>52</v>
      </c>
      <c r="B14" s="12">
        <v>1030226101</v>
      </c>
      <c r="C14" s="71">
        <v>-41.3</v>
      </c>
      <c r="D14" s="71"/>
      <c r="E14" s="67">
        <f>C14+D14</f>
        <v>-41.3</v>
      </c>
      <c r="F14" s="67"/>
      <c r="G14" s="71">
        <v>-45.3</v>
      </c>
      <c r="H14" s="69">
        <f>G14+M14</f>
        <v>-48.4</v>
      </c>
      <c r="I14" s="70">
        <f>H14/E14</f>
        <v>1.1719128329297821</v>
      </c>
      <c r="J14" s="70"/>
      <c r="K14" s="71">
        <v>-55.5</v>
      </c>
      <c r="L14" s="70">
        <f t="shared" si="3"/>
        <v>0</v>
      </c>
      <c r="M14" s="71">
        <v>-3.1</v>
      </c>
      <c r="N14" s="71">
        <v>-5.6</v>
      </c>
      <c r="O14" s="70">
        <f t="shared" si="2"/>
        <v>0</v>
      </c>
      <c r="P14" s="71"/>
      <c r="Q14" s="71"/>
      <c r="R14" s="71"/>
    </row>
    <row r="15" spans="1:18" ht="18">
      <c r="A15" s="9" t="s">
        <v>70</v>
      </c>
      <c r="B15" s="30">
        <v>1050000000</v>
      </c>
      <c r="C15" s="72">
        <f t="shared" ref="C15:H15" si="6">C16</f>
        <v>0</v>
      </c>
      <c r="D15" s="73">
        <f t="shared" si="6"/>
        <v>0</v>
      </c>
      <c r="E15" s="73">
        <f t="shared" si="6"/>
        <v>0</v>
      </c>
      <c r="F15" s="73">
        <f t="shared" si="6"/>
        <v>0</v>
      </c>
      <c r="G15" s="72">
        <f>G16</f>
        <v>0</v>
      </c>
      <c r="H15" s="73">
        <f t="shared" si="6"/>
        <v>0</v>
      </c>
      <c r="I15" s="87">
        <f t="shared" si="1"/>
        <v>0</v>
      </c>
      <c r="J15" s="87">
        <f t="shared" si="4"/>
        <v>0</v>
      </c>
      <c r="K15" s="72">
        <f>K16</f>
        <v>0</v>
      </c>
      <c r="L15" s="87">
        <f t="shared" si="3"/>
        <v>0</v>
      </c>
      <c r="M15" s="72">
        <f>M16</f>
        <v>0</v>
      </c>
      <c r="N15" s="72">
        <f>N16</f>
        <v>0</v>
      </c>
      <c r="O15" s="87">
        <f t="shared" si="2"/>
        <v>0</v>
      </c>
      <c r="P15" s="72">
        <f>P16</f>
        <v>0</v>
      </c>
      <c r="Q15" s="72">
        <f>Q16</f>
        <v>0</v>
      </c>
      <c r="R15" s="72">
        <f>R16</f>
        <v>0</v>
      </c>
    </row>
    <row r="16" spans="1:18" ht="18">
      <c r="A16" s="13" t="s">
        <v>7</v>
      </c>
      <c r="B16" s="13">
        <v>1050300001</v>
      </c>
      <c r="C16" s="71"/>
      <c r="D16" s="68"/>
      <c r="E16" s="71">
        <f>C16+D16</f>
        <v>0</v>
      </c>
      <c r="F16" s="71"/>
      <c r="G16" s="71"/>
      <c r="H16" s="68">
        <f>G16+M16</f>
        <v>0</v>
      </c>
      <c r="I16" s="77">
        <f t="shared" si="1"/>
        <v>0</v>
      </c>
      <c r="J16" s="77">
        <f t="shared" si="4"/>
        <v>0</v>
      </c>
      <c r="K16" s="71"/>
      <c r="L16" s="77">
        <f t="shared" si="3"/>
        <v>0</v>
      </c>
      <c r="M16" s="71"/>
      <c r="N16" s="71"/>
      <c r="O16" s="77">
        <f t="shared" si="2"/>
        <v>0</v>
      </c>
      <c r="P16" s="71"/>
      <c r="Q16" s="71"/>
      <c r="R16" s="71"/>
    </row>
    <row r="17" spans="1:20" ht="18">
      <c r="A17" s="9" t="s">
        <v>71</v>
      </c>
      <c r="B17" s="30">
        <v>1060000000</v>
      </c>
      <c r="C17" s="72">
        <f t="shared" ref="C17:H17" si="7">C18+C21</f>
        <v>162</v>
      </c>
      <c r="D17" s="73">
        <f t="shared" si="7"/>
        <v>0</v>
      </c>
      <c r="E17" s="73">
        <f t="shared" si="7"/>
        <v>162</v>
      </c>
      <c r="F17" s="73">
        <f t="shared" si="7"/>
        <v>0</v>
      </c>
      <c r="G17" s="72">
        <f>G18+G21</f>
        <v>164.6</v>
      </c>
      <c r="H17" s="73">
        <f t="shared" si="7"/>
        <v>187.4</v>
      </c>
      <c r="I17" s="87">
        <f t="shared" si="1"/>
        <v>1.1567901234567901</v>
      </c>
      <c r="J17" s="87">
        <f t="shared" si="4"/>
        <v>0</v>
      </c>
      <c r="K17" s="72">
        <f>K18+K21</f>
        <v>182.7</v>
      </c>
      <c r="L17" s="87">
        <f t="shared" si="3"/>
        <v>1.0257252326217845</v>
      </c>
      <c r="M17" s="72">
        <f>M18+M21</f>
        <v>22.8</v>
      </c>
      <c r="N17" s="72">
        <f>N18+N21</f>
        <v>20.400000000000002</v>
      </c>
      <c r="O17" s="87">
        <f t="shared" si="2"/>
        <v>1.1176470588235294</v>
      </c>
      <c r="P17" s="72">
        <f>P18+P21</f>
        <v>25.6</v>
      </c>
      <c r="Q17" s="72">
        <f>Q18+Q21</f>
        <v>14.7</v>
      </c>
      <c r="R17" s="72">
        <f>R18+R21</f>
        <v>22.7</v>
      </c>
    </row>
    <row r="18" spans="1:20" ht="18">
      <c r="A18" s="13" t="s">
        <v>13</v>
      </c>
      <c r="B18" s="13">
        <v>1060600000</v>
      </c>
      <c r="C18" s="71">
        <f t="shared" ref="C18:H18" si="8">C19+C20</f>
        <v>128</v>
      </c>
      <c r="D18" s="68">
        <f t="shared" si="8"/>
        <v>0</v>
      </c>
      <c r="E18" s="68">
        <f t="shared" si="8"/>
        <v>128</v>
      </c>
      <c r="F18" s="68">
        <f t="shared" si="8"/>
        <v>0</v>
      </c>
      <c r="G18" s="71">
        <f>G19+G20</f>
        <v>133</v>
      </c>
      <c r="H18" s="68">
        <f t="shared" si="8"/>
        <v>153</v>
      </c>
      <c r="I18" s="77">
        <f t="shared" si="1"/>
        <v>1.1953125</v>
      </c>
      <c r="J18" s="77">
        <f t="shared" si="4"/>
        <v>0</v>
      </c>
      <c r="K18" s="71">
        <f>K19+K20</f>
        <v>148.6</v>
      </c>
      <c r="L18" s="77">
        <f t="shared" si="3"/>
        <v>1.0296096904441454</v>
      </c>
      <c r="M18" s="71">
        <f>M19+M20</f>
        <v>20</v>
      </c>
      <c r="N18" s="71">
        <f>N19+N20</f>
        <v>16.600000000000001</v>
      </c>
      <c r="O18" s="77">
        <f t="shared" si="2"/>
        <v>1.2048192771084336</v>
      </c>
      <c r="P18" s="71">
        <f>P19+P20</f>
        <v>17.200000000000003</v>
      </c>
      <c r="Q18" s="71">
        <f>Q19+Q20</f>
        <v>12</v>
      </c>
      <c r="R18" s="71">
        <f>R19+R20</f>
        <v>16.5</v>
      </c>
    </row>
    <row r="19" spans="1:20" ht="18">
      <c r="A19" s="13" t="s">
        <v>100</v>
      </c>
      <c r="B19" s="13">
        <v>1060603310</v>
      </c>
      <c r="C19" s="71">
        <v>85</v>
      </c>
      <c r="D19" s="68">
        <v>12</v>
      </c>
      <c r="E19" s="71">
        <f>C19+D19</f>
        <v>97</v>
      </c>
      <c r="F19" s="71"/>
      <c r="G19" s="71">
        <v>111.2</v>
      </c>
      <c r="H19" s="68">
        <f>G19+M19</f>
        <v>121.3</v>
      </c>
      <c r="I19" s="77">
        <f t="shared" si="1"/>
        <v>1.2505154639175258</v>
      </c>
      <c r="J19" s="77">
        <f t="shared" si="4"/>
        <v>0</v>
      </c>
      <c r="K19" s="71">
        <v>97.6</v>
      </c>
      <c r="L19" s="77">
        <f t="shared" si="3"/>
        <v>1.242827868852459</v>
      </c>
      <c r="M19" s="71">
        <v>10.1</v>
      </c>
      <c r="N19" s="71">
        <v>6</v>
      </c>
      <c r="O19" s="77">
        <f t="shared" si="2"/>
        <v>1.6833333333333333</v>
      </c>
      <c r="P19" s="71">
        <v>0.1</v>
      </c>
      <c r="Q19" s="71">
        <v>1.3</v>
      </c>
      <c r="R19" s="71">
        <v>0.3</v>
      </c>
    </row>
    <row r="20" spans="1:20" ht="18">
      <c r="A20" s="13" t="s">
        <v>101</v>
      </c>
      <c r="B20" s="13">
        <v>1060604310</v>
      </c>
      <c r="C20" s="71">
        <v>43</v>
      </c>
      <c r="D20" s="68">
        <v>-12</v>
      </c>
      <c r="E20" s="71">
        <f>C20+D20</f>
        <v>31</v>
      </c>
      <c r="F20" s="71"/>
      <c r="G20" s="71">
        <v>21.8</v>
      </c>
      <c r="H20" s="68">
        <f>G20+M20</f>
        <v>31.700000000000003</v>
      </c>
      <c r="I20" s="77">
        <f t="shared" si="1"/>
        <v>1.0225806451612904</v>
      </c>
      <c r="J20" s="77">
        <f t="shared" si="4"/>
        <v>0</v>
      </c>
      <c r="K20" s="71">
        <v>51</v>
      </c>
      <c r="L20" s="77">
        <f t="shared" si="3"/>
        <v>0.6215686274509804</v>
      </c>
      <c r="M20" s="71">
        <v>9.9</v>
      </c>
      <c r="N20" s="71">
        <v>10.6</v>
      </c>
      <c r="O20" s="77">
        <f t="shared" si="2"/>
        <v>0.93396226415094341</v>
      </c>
      <c r="P20" s="71">
        <v>17.100000000000001</v>
      </c>
      <c r="Q20" s="71">
        <v>10.7</v>
      </c>
      <c r="R20" s="71">
        <v>16.2</v>
      </c>
    </row>
    <row r="21" spans="1:20" ht="18">
      <c r="A21" s="13" t="s">
        <v>12</v>
      </c>
      <c r="B21" s="13">
        <v>1060103010</v>
      </c>
      <c r="C21" s="71">
        <v>34</v>
      </c>
      <c r="D21" s="68"/>
      <c r="E21" s="71">
        <f>C21+D21</f>
        <v>34</v>
      </c>
      <c r="F21" s="71"/>
      <c r="G21" s="71">
        <v>31.6</v>
      </c>
      <c r="H21" s="68">
        <f>G21+M21</f>
        <v>34.4</v>
      </c>
      <c r="I21" s="77">
        <f t="shared" si="1"/>
        <v>1.0117647058823529</v>
      </c>
      <c r="J21" s="77">
        <f t="shared" si="4"/>
        <v>0</v>
      </c>
      <c r="K21" s="71">
        <v>34.1</v>
      </c>
      <c r="L21" s="77">
        <f t="shared" si="3"/>
        <v>1.0087976539589443</v>
      </c>
      <c r="M21" s="71">
        <v>2.8</v>
      </c>
      <c r="N21" s="71">
        <v>3.8</v>
      </c>
      <c r="O21" s="77">
        <f t="shared" si="2"/>
        <v>0.73684210526315785</v>
      </c>
      <c r="P21" s="71">
        <v>8.4</v>
      </c>
      <c r="Q21" s="71">
        <v>2.7</v>
      </c>
      <c r="R21" s="71">
        <v>6.2</v>
      </c>
      <c r="S21" s="129"/>
      <c r="T21" s="158"/>
    </row>
    <row r="22" spans="1:20" ht="18">
      <c r="A22" s="9" t="s">
        <v>72</v>
      </c>
      <c r="B22" s="30">
        <v>1080402001</v>
      </c>
      <c r="C22" s="72">
        <v>3</v>
      </c>
      <c r="D22" s="73"/>
      <c r="E22" s="72">
        <f>C22+D22</f>
        <v>3</v>
      </c>
      <c r="F22" s="72"/>
      <c r="G22" s="72">
        <v>4.2</v>
      </c>
      <c r="H22" s="73">
        <f>G22+M22</f>
        <v>4.4000000000000004</v>
      </c>
      <c r="I22" s="87">
        <f t="shared" si="1"/>
        <v>1.4666666666666668</v>
      </c>
      <c r="J22" s="87">
        <f t="shared" si="4"/>
        <v>0</v>
      </c>
      <c r="K22" s="72">
        <v>6.5</v>
      </c>
      <c r="L22" s="87">
        <f t="shared" si="3"/>
        <v>0.67692307692307696</v>
      </c>
      <c r="M22" s="72">
        <v>0.2</v>
      </c>
      <c r="N22" s="72">
        <v>1.5</v>
      </c>
      <c r="O22" s="87">
        <f t="shared" si="2"/>
        <v>0.13333333333333333</v>
      </c>
      <c r="P22" s="72"/>
      <c r="Q22" s="72"/>
      <c r="R22" s="72"/>
    </row>
    <row r="23" spans="1:20" ht="18" hidden="1">
      <c r="A23" s="9" t="s">
        <v>73</v>
      </c>
      <c r="B23" s="30">
        <v>1090405010</v>
      </c>
      <c r="C23" s="72"/>
      <c r="D23" s="72"/>
      <c r="E23" s="72">
        <f>C23+D23</f>
        <v>0</v>
      </c>
      <c r="F23" s="72"/>
      <c r="G23" s="72"/>
      <c r="H23" s="73">
        <f>G23+M23</f>
        <v>0</v>
      </c>
      <c r="I23" s="87">
        <f t="shared" si="1"/>
        <v>0</v>
      </c>
      <c r="J23" s="87">
        <f t="shared" si="4"/>
        <v>0</v>
      </c>
      <c r="K23" s="72"/>
      <c r="L23" s="87">
        <f t="shared" si="3"/>
        <v>0</v>
      </c>
      <c r="M23" s="72"/>
      <c r="N23" s="72"/>
      <c r="O23" s="87">
        <f t="shared" si="2"/>
        <v>0</v>
      </c>
      <c r="P23" s="72"/>
      <c r="Q23" s="72"/>
      <c r="R23" s="72"/>
    </row>
    <row r="24" spans="1:20" ht="18">
      <c r="A24" s="32" t="s">
        <v>22</v>
      </c>
      <c r="B24" s="32"/>
      <c r="C24" s="86">
        <f t="shared" ref="C24:H24" si="9">C25+C29+C33+C31+C32+C30</f>
        <v>14</v>
      </c>
      <c r="D24" s="86">
        <f t="shared" si="9"/>
        <v>16.13999999999993</v>
      </c>
      <c r="E24" s="86">
        <f t="shared" si="9"/>
        <v>30.13999999999993</v>
      </c>
      <c r="F24" s="86">
        <f t="shared" si="9"/>
        <v>0</v>
      </c>
      <c r="G24" s="86">
        <f>G25+G29+G33+G31+G32+G30</f>
        <v>29.2</v>
      </c>
      <c r="H24" s="86">
        <f t="shared" si="9"/>
        <v>30</v>
      </c>
      <c r="I24" s="90">
        <f t="shared" si="1"/>
        <v>0.99535500995355242</v>
      </c>
      <c r="J24" s="90">
        <f t="shared" si="4"/>
        <v>0</v>
      </c>
      <c r="K24" s="86">
        <f>K25+K29+K33+K31+K32+K30</f>
        <v>187.2</v>
      </c>
      <c r="L24" s="90">
        <f t="shared" si="3"/>
        <v>0.16025641025641027</v>
      </c>
      <c r="M24" s="86">
        <f>M25+M29+M33+M31+M32+M30</f>
        <v>0.8</v>
      </c>
      <c r="N24" s="86">
        <f>N25+N29+N33+N31+N32+N30</f>
        <v>7.5</v>
      </c>
      <c r="O24" s="90">
        <f t="shared" si="2"/>
        <v>0.10666666666666667</v>
      </c>
      <c r="P24" s="76">
        <f>P25+P29+P32</f>
        <v>0</v>
      </c>
      <c r="Q24" s="76">
        <f>Q25+Q29+Q32</f>
        <v>0</v>
      </c>
      <c r="R24" s="76">
        <f>R25+R29+R32</f>
        <v>0</v>
      </c>
    </row>
    <row r="25" spans="1:20" ht="18">
      <c r="A25" s="9" t="s">
        <v>74</v>
      </c>
      <c r="B25" s="30">
        <v>1110000000</v>
      </c>
      <c r="C25" s="72">
        <f t="shared" ref="C25:H25" si="10">C26+C28+C27</f>
        <v>14</v>
      </c>
      <c r="D25" s="72">
        <f t="shared" si="10"/>
        <v>16.13999999999993</v>
      </c>
      <c r="E25" s="72">
        <f t="shared" si="10"/>
        <v>30.13999999999993</v>
      </c>
      <c r="F25" s="72">
        <f t="shared" si="10"/>
        <v>0</v>
      </c>
      <c r="G25" s="72">
        <f>G26+G28+G27</f>
        <v>29</v>
      </c>
      <c r="H25" s="72">
        <f t="shared" si="10"/>
        <v>29.8</v>
      </c>
      <c r="I25" s="87">
        <f t="shared" si="1"/>
        <v>0.98871930988719547</v>
      </c>
      <c r="J25" s="87">
        <f t="shared" si="4"/>
        <v>0</v>
      </c>
      <c r="K25" s="72">
        <f>K26+K28+K27</f>
        <v>42.3</v>
      </c>
      <c r="L25" s="87">
        <f t="shared" si="3"/>
        <v>0.70449172576832153</v>
      </c>
      <c r="M25" s="72">
        <f>M26+M28+M27</f>
        <v>0.8</v>
      </c>
      <c r="N25" s="72">
        <f>N26+N28+N27</f>
        <v>0.7</v>
      </c>
      <c r="O25" s="87">
        <f t="shared" si="2"/>
        <v>1.142857142857143</v>
      </c>
      <c r="P25" s="72">
        <f>P26+P28+P27</f>
        <v>0</v>
      </c>
      <c r="Q25" s="72">
        <f>Q26+Q28+Q27</f>
        <v>0</v>
      </c>
      <c r="R25" s="72">
        <f>R26+R28+R27</f>
        <v>0</v>
      </c>
    </row>
    <row r="26" spans="1:20" ht="0.75" customHeight="1">
      <c r="A26" s="13" t="s">
        <v>26</v>
      </c>
      <c r="B26" s="13">
        <v>1110501013</v>
      </c>
      <c r="C26" s="71"/>
      <c r="D26" s="68"/>
      <c r="E26" s="71">
        <f t="shared" ref="E26:E32" si="11">C26+D26</f>
        <v>0</v>
      </c>
      <c r="F26" s="71"/>
      <c r="G26" s="71"/>
      <c r="H26" s="68">
        <f t="shared" ref="H26:H32" si="12">G26+M26</f>
        <v>0</v>
      </c>
      <c r="I26" s="77">
        <f t="shared" si="1"/>
        <v>0</v>
      </c>
      <c r="J26" s="77">
        <f t="shared" si="4"/>
        <v>0</v>
      </c>
      <c r="K26" s="71"/>
      <c r="L26" s="77">
        <f t="shared" si="3"/>
        <v>0</v>
      </c>
      <c r="M26" s="71"/>
      <c r="N26" s="71"/>
      <c r="O26" s="77">
        <f t="shared" si="2"/>
        <v>0</v>
      </c>
      <c r="P26" s="71"/>
      <c r="Q26" s="71"/>
      <c r="R26" s="71"/>
    </row>
    <row r="27" spans="1:20" ht="21" hidden="1" customHeight="1">
      <c r="A27" s="13" t="s">
        <v>27</v>
      </c>
      <c r="B27" s="13">
        <v>1110903510</v>
      </c>
      <c r="C27" s="71"/>
      <c r="D27" s="68"/>
      <c r="E27" s="71">
        <f t="shared" si="11"/>
        <v>0</v>
      </c>
      <c r="F27" s="71"/>
      <c r="G27" s="71"/>
      <c r="H27" s="68">
        <f t="shared" si="12"/>
        <v>0</v>
      </c>
      <c r="I27" s="77">
        <f t="shared" si="1"/>
        <v>0</v>
      </c>
      <c r="J27" s="77">
        <f t="shared" si="4"/>
        <v>0</v>
      </c>
      <c r="K27" s="71"/>
      <c r="L27" s="77">
        <f t="shared" si="3"/>
        <v>0</v>
      </c>
      <c r="M27" s="71"/>
      <c r="N27" s="71"/>
      <c r="O27" s="77">
        <f t="shared" si="2"/>
        <v>0</v>
      </c>
      <c r="P27" s="71"/>
      <c r="Q27" s="71"/>
      <c r="R27" s="71"/>
    </row>
    <row r="28" spans="1:20" ht="22.5" customHeight="1">
      <c r="A28" s="33" t="s">
        <v>23</v>
      </c>
      <c r="B28" s="13">
        <v>1110904510</v>
      </c>
      <c r="C28" s="71">
        <v>14</v>
      </c>
      <c r="D28" s="82">
        <f>54.3+17.3+200+311.7-508.16-59</f>
        <v>16.13999999999993</v>
      </c>
      <c r="E28" s="71">
        <f t="shared" si="11"/>
        <v>30.13999999999993</v>
      </c>
      <c r="F28" s="71"/>
      <c r="G28" s="71">
        <v>29</v>
      </c>
      <c r="H28" s="68">
        <f t="shared" si="12"/>
        <v>29.8</v>
      </c>
      <c r="I28" s="77">
        <f t="shared" si="1"/>
        <v>0.98871930988719547</v>
      </c>
      <c r="J28" s="77">
        <f t="shared" si="4"/>
        <v>0</v>
      </c>
      <c r="K28" s="71">
        <v>42.3</v>
      </c>
      <c r="L28" s="77">
        <f t="shared" si="3"/>
        <v>0.70449172576832153</v>
      </c>
      <c r="M28" s="71">
        <v>0.8</v>
      </c>
      <c r="N28" s="71">
        <v>0.7</v>
      </c>
      <c r="O28" s="77">
        <f t="shared" si="2"/>
        <v>1.142857142857143</v>
      </c>
      <c r="P28" s="71"/>
      <c r="Q28" s="71"/>
      <c r="R28" s="71"/>
    </row>
    <row r="29" spans="1:20" ht="18">
      <c r="A29" s="9" t="s">
        <v>38</v>
      </c>
      <c r="B29" s="30">
        <v>1130299510</v>
      </c>
      <c r="C29" s="72"/>
      <c r="D29" s="72"/>
      <c r="E29" s="72">
        <f t="shared" si="11"/>
        <v>0</v>
      </c>
      <c r="F29" s="72"/>
      <c r="G29" s="72"/>
      <c r="H29" s="73">
        <f t="shared" si="12"/>
        <v>0</v>
      </c>
      <c r="I29" s="87">
        <f t="shared" si="1"/>
        <v>0</v>
      </c>
      <c r="J29" s="87">
        <f t="shared" si="4"/>
        <v>0</v>
      </c>
      <c r="K29" s="72">
        <v>144.6</v>
      </c>
      <c r="L29" s="87">
        <f t="shared" si="3"/>
        <v>0</v>
      </c>
      <c r="M29" s="72"/>
      <c r="N29" s="72">
        <v>6.7</v>
      </c>
      <c r="O29" s="87">
        <f t="shared" si="2"/>
        <v>0</v>
      </c>
      <c r="P29" s="72"/>
      <c r="Q29" s="72"/>
      <c r="R29" s="72"/>
    </row>
    <row r="30" spans="1:20" ht="18">
      <c r="A30" s="9" t="s">
        <v>45</v>
      </c>
      <c r="B30" s="30">
        <v>1140205310</v>
      </c>
      <c r="C30" s="72"/>
      <c r="D30" s="72"/>
      <c r="E30" s="72">
        <f t="shared" si="11"/>
        <v>0</v>
      </c>
      <c r="F30" s="72"/>
      <c r="G30" s="72"/>
      <c r="H30" s="73">
        <f t="shared" si="12"/>
        <v>0</v>
      </c>
      <c r="I30" s="87">
        <f t="shared" si="1"/>
        <v>0</v>
      </c>
      <c r="J30" s="87"/>
      <c r="K30" s="72"/>
      <c r="L30" s="87">
        <f t="shared" si="3"/>
        <v>0</v>
      </c>
      <c r="M30" s="72"/>
      <c r="N30" s="72"/>
      <c r="O30" s="87">
        <f t="shared" si="2"/>
        <v>0</v>
      </c>
      <c r="P30" s="72"/>
      <c r="Q30" s="72"/>
      <c r="R30" s="72"/>
    </row>
    <row r="31" spans="1:20" ht="18">
      <c r="A31" s="9" t="s">
        <v>78</v>
      </c>
      <c r="B31" s="30">
        <v>1140601410</v>
      </c>
      <c r="C31" s="72"/>
      <c r="D31" s="72"/>
      <c r="E31" s="72">
        <f t="shared" si="11"/>
        <v>0</v>
      </c>
      <c r="F31" s="72"/>
      <c r="G31" s="72"/>
      <c r="H31" s="73">
        <f t="shared" si="12"/>
        <v>0</v>
      </c>
      <c r="I31" s="87">
        <f t="shared" si="1"/>
        <v>0</v>
      </c>
      <c r="J31" s="87">
        <f t="shared" si="4"/>
        <v>0</v>
      </c>
      <c r="K31" s="72"/>
      <c r="L31" s="87">
        <f t="shared" si="3"/>
        <v>0</v>
      </c>
      <c r="M31" s="72"/>
      <c r="N31" s="72"/>
      <c r="O31" s="87">
        <f t="shared" si="2"/>
        <v>0</v>
      </c>
      <c r="P31" s="72"/>
      <c r="Q31" s="72"/>
      <c r="R31" s="72"/>
    </row>
    <row r="32" spans="1:20" ht="18">
      <c r="A32" s="9" t="s">
        <v>77</v>
      </c>
      <c r="B32" s="30">
        <v>1169005010</v>
      </c>
      <c r="C32" s="72"/>
      <c r="D32" s="72"/>
      <c r="E32" s="72">
        <f t="shared" si="11"/>
        <v>0</v>
      </c>
      <c r="F32" s="72"/>
      <c r="G32" s="72"/>
      <c r="H32" s="73">
        <f t="shared" si="12"/>
        <v>0</v>
      </c>
      <c r="I32" s="87">
        <f>IF(E32&gt;0,H32/E32,0)</f>
        <v>0</v>
      </c>
      <c r="J32" s="87">
        <f>IF(F32&gt;0,H32/F32,0)</f>
        <v>0</v>
      </c>
      <c r="K32" s="72"/>
      <c r="L32" s="87">
        <f t="shared" si="3"/>
        <v>0</v>
      </c>
      <c r="M32" s="72"/>
      <c r="N32" s="72"/>
      <c r="O32" s="87">
        <f t="shared" si="2"/>
        <v>0</v>
      </c>
      <c r="P32" s="72"/>
      <c r="Q32" s="72"/>
      <c r="R32" s="72"/>
    </row>
    <row r="33" spans="1:20" ht="18">
      <c r="A33" s="9" t="s">
        <v>69</v>
      </c>
      <c r="B33" s="30">
        <v>1170000000</v>
      </c>
      <c r="C33" s="73">
        <f t="shared" ref="C33:H33" si="13">SUM(C34:C35)</f>
        <v>0</v>
      </c>
      <c r="D33" s="73">
        <f t="shared" si="13"/>
        <v>0</v>
      </c>
      <c r="E33" s="73">
        <f t="shared" si="13"/>
        <v>0</v>
      </c>
      <c r="F33" s="73">
        <f t="shared" si="13"/>
        <v>0</v>
      </c>
      <c r="G33" s="73">
        <f>SUM(G34:G35)</f>
        <v>0.2</v>
      </c>
      <c r="H33" s="73">
        <f t="shared" si="13"/>
        <v>0.2</v>
      </c>
      <c r="I33" s="87">
        <f>IF(E33&gt;0,H33/E33,0)</f>
        <v>0</v>
      </c>
      <c r="J33" s="87">
        <f>IF(F33&gt;0,H33/F33,0)</f>
        <v>0</v>
      </c>
      <c r="K33" s="73">
        <f>SUM(K34:K35)</f>
        <v>0.3</v>
      </c>
      <c r="L33" s="87">
        <f t="shared" si="3"/>
        <v>0.66666666666666674</v>
      </c>
      <c r="M33" s="73">
        <f>SUM(M34:M35)</f>
        <v>0</v>
      </c>
      <c r="N33" s="73">
        <f>SUM(N34:N35)</f>
        <v>0.1</v>
      </c>
      <c r="O33" s="87">
        <f t="shared" si="2"/>
        <v>0</v>
      </c>
      <c r="P33" s="73">
        <f>SUM(P34:P35)</f>
        <v>0</v>
      </c>
      <c r="Q33" s="73">
        <f>SUM(Q34:Q35)</f>
        <v>0</v>
      </c>
      <c r="R33" s="73">
        <f>SUM(R34:R35)</f>
        <v>0</v>
      </c>
    </row>
    <row r="34" spans="1:20" ht="18">
      <c r="A34" s="13" t="s">
        <v>8</v>
      </c>
      <c r="B34" s="13">
        <v>1170103003</v>
      </c>
      <c r="C34" s="71"/>
      <c r="D34" s="71"/>
      <c r="E34" s="71">
        <f>C34+D34</f>
        <v>0</v>
      </c>
      <c r="F34" s="71"/>
      <c r="G34" s="71"/>
      <c r="H34" s="68">
        <f>G34+M34</f>
        <v>0</v>
      </c>
      <c r="I34" s="77">
        <f t="shared" si="1"/>
        <v>0</v>
      </c>
      <c r="J34" s="77">
        <f t="shared" si="4"/>
        <v>0</v>
      </c>
      <c r="K34" s="71"/>
      <c r="L34" s="77">
        <f t="shared" si="3"/>
        <v>0</v>
      </c>
      <c r="M34" s="71"/>
      <c r="N34" s="71"/>
      <c r="O34" s="77">
        <f t="shared" ref="O34:O40" si="14">IF(N34&gt;0,M34/N34,0)</f>
        <v>0</v>
      </c>
      <c r="P34" s="77"/>
      <c r="Q34" s="77"/>
      <c r="R34" s="77"/>
    </row>
    <row r="35" spans="1:20" ht="18">
      <c r="A35" s="13" t="s">
        <v>33</v>
      </c>
      <c r="B35" s="13">
        <v>1170505010</v>
      </c>
      <c r="C35" s="71"/>
      <c r="D35" s="68"/>
      <c r="E35" s="71">
        <f>C35+D35</f>
        <v>0</v>
      </c>
      <c r="F35" s="71"/>
      <c r="G35" s="71">
        <v>0.2</v>
      </c>
      <c r="H35" s="68">
        <f>G35+M35</f>
        <v>0.2</v>
      </c>
      <c r="I35" s="77">
        <f>IF(E35&gt;0,H35/E35,0)</f>
        <v>0</v>
      </c>
      <c r="J35" s="77">
        <f>IF(F35&gt;0,H35/F35,0)</f>
        <v>0</v>
      </c>
      <c r="K35" s="71">
        <v>0.3</v>
      </c>
      <c r="L35" s="77">
        <f>IF(K35&gt;0,H35/K35,0)</f>
        <v>0.66666666666666674</v>
      </c>
      <c r="M35" s="71"/>
      <c r="N35" s="71">
        <v>0.1</v>
      </c>
      <c r="O35" s="77">
        <f t="shared" si="14"/>
        <v>0</v>
      </c>
      <c r="P35" s="71"/>
      <c r="Q35" s="71"/>
      <c r="R35" s="71"/>
    </row>
    <row r="36" spans="1:20" ht="18">
      <c r="A36" s="9" t="s">
        <v>6</v>
      </c>
      <c r="B36" s="9">
        <v>1000000000</v>
      </c>
      <c r="C36" s="79">
        <f t="shared" ref="C36:H36" si="15">C5+C24</f>
        <v>1497.9</v>
      </c>
      <c r="D36" s="78">
        <f t="shared" si="15"/>
        <v>75.13999999999993</v>
      </c>
      <c r="E36" s="78">
        <f t="shared" si="15"/>
        <v>1573.04</v>
      </c>
      <c r="F36" s="79" t="e">
        <f t="shared" si="15"/>
        <v>#REF!</v>
      </c>
      <c r="G36" s="79">
        <f>G5+G24</f>
        <v>1568.5000000000002</v>
      </c>
      <c r="H36" s="79">
        <f t="shared" si="15"/>
        <v>1728.8000000000002</v>
      </c>
      <c r="I36" s="91">
        <f t="shared" si="1"/>
        <v>1.099018461069013</v>
      </c>
      <c r="J36" s="91" t="e">
        <f t="shared" si="4"/>
        <v>#REF!</v>
      </c>
      <c r="K36" s="79">
        <f>K5+K24</f>
        <v>1668.6</v>
      </c>
      <c r="L36" s="91">
        <f t="shared" si="3"/>
        <v>1.0360781493467579</v>
      </c>
      <c r="M36" s="79">
        <f>M5+M24</f>
        <v>160.30000000000001</v>
      </c>
      <c r="N36" s="79">
        <f>N5+N24</f>
        <v>164.3</v>
      </c>
      <c r="O36" s="91">
        <f t="shared" si="14"/>
        <v>0.97565429093122336</v>
      </c>
      <c r="P36" s="79">
        <f>P5+P24</f>
        <v>25.8</v>
      </c>
      <c r="Q36" s="79">
        <f>Q5+Q24</f>
        <v>15.7</v>
      </c>
      <c r="R36" s="79">
        <f>R5+R24</f>
        <v>36.200000000000003</v>
      </c>
      <c r="S36" s="160"/>
      <c r="T36" s="158"/>
    </row>
    <row r="37" spans="1:20" ht="18">
      <c r="A37" s="9" t="s">
        <v>92</v>
      </c>
      <c r="B37" s="9"/>
      <c r="C37" s="79">
        <f t="shared" ref="C37:H37" si="16">C36-C10</f>
        <v>769.90000000000009</v>
      </c>
      <c r="D37" s="78">
        <f t="shared" si="16"/>
        <v>75.13999999999993</v>
      </c>
      <c r="E37" s="78">
        <f t="shared" si="16"/>
        <v>845.04</v>
      </c>
      <c r="F37" s="79" t="e">
        <f t="shared" si="16"/>
        <v>#REF!</v>
      </c>
      <c r="G37" s="79">
        <f>G36-G10</f>
        <v>795.50000000000023</v>
      </c>
      <c r="H37" s="79">
        <f t="shared" si="16"/>
        <v>886.50000000000011</v>
      </c>
      <c r="I37" s="91">
        <f>IF(E37&gt;0,H37/E37,0)</f>
        <v>1.0490627662595855</v>
      </c>
      <c r="J37" s="91" t="e">
        <f>IF(F37&gt;0,H37/F37,0)</f>
        <v>#REF!</v>
      </c>
      <c r="K37" s="79">
        <f>K36-K10</f>
        <v>963.3</v>
      </c>
      <c r="L37" s="91">
        <f t="shared" si="3"/>
        <v>0.92027405792587991</v>
      </c>
      <c r="M37" s="79">
        <f>M36-M10</f>
        <v>91</v>
      </c>
      <c r="N37" s="79">
        <f>N36-N10</f>
        <v>101.70000000000002</v>
      </c>
      <c r="O37" s="91">
        <f t="shared" si="14"/>
        <v>0.89478859390363796</v>
      </c>
      <c r="P37" s="79"/>
      <c r="Q37" s="79"/>
      <c r="R37" s="79"/>
    </row>
    <row r="38" spans="1:20" ht="18">
      <c r="A38" s="13" t="s">
        <v>25</v>
      </c>
      <c r="B38" s="13">
        <v>2000000000</v>
      </c>
      <c r="C38" s="71">
        <v>2537.1</v>
      </c>
      <c r="D38" s="83">
        <f>150+115+5.5+2+512</f>
        <v>784.5</v>
      </c>
      <c r="E38" s="71">
        <f>C38+D38</f>
        <v>3321.6</v>
      </c>
      <c r="F38" s="71"/>
      <c r="G38" s="71">
        <v>2457.3000000000002</v>
      </c>
      <c r="H38" s="68">
        <f>G38+M38</f>
        <v>3321.6000000000004</v>
      </c>
      <c r="I38" s="77">
        <f t="shared" si="1"/>
        <v>1.0000000000000002</v>
      </c>
      <c r="J38" s="77">
        <f t="shared" si="4"/>
        <v>0</v>
      </c>
      <c r="K38" s="71">
        <v>2539.4</v>
      </c>
      <c r="L38" s="77">
        <f t="shared" si="3"/>
        <v>1.3080255178388596</v>
      </c>
      <c r="M38" s="71">
        <v>864.3</v>
      </c>
      <c r="N38" s="71">
        <v>355.4</v>
      </c>
      <c r="O38" s="77">
        <f t="shared" si="14"/>
        <v>2.4319077096229602</v>
      </c>
      <c r="P38" s="71"/>
      <c r="Q38" s="71"/>
      <c r="R38" s="71"/>
      <c r="S38" s="175"/>
    </row>
    <row r="39" spans="1:20" ht="18">
      <c r="A39" s="13" t="s">
        <v>47</v>
      </c>
      <c r="B39" s="34" t="s">
        <v>37</v>
      </c>
      <c r="C39" s="71"/>
      <c r="D39" s="82"/>
      <c r="E39" s="71">
        <f>C39+D39</f>
        <v>0</v>
      </c>
      <c r="F39" s="71"/>
      <c r="G39" s="71"/>
      <c r="H39" s="68">
        <f>G39+M39</f>
        <v>0</v>
      </c>
      <c r="I39" s="77">
        <f t="shared" si="1"/>
        <v>0</v>
      </c>
      <c r="J39" s="77"/>
      <c r="K39" s="71"/>
      <c r="L39" s="77">
        <f t="shared" si="3"/>
        <v>0</v>
      </c>
      <c r="M39" s="71"/>
      <c r="N39" s="71"/>
      <c r="O39" s="77">
        <f t="shared" si="14"/>
        <v>0</v>
      </c>
      <c r="P39" s="71"/>
      <c r="Q39" s="71"/>
      <c r="R39" s="71"/>
    </row>
    <row r="40" spans="1:20" ht="18">
      <c r="A40" s="9" t="s">
        <v>2</v>
      </c>
      <c r="B40" s="9">
        <v>0</v>
      </c>
      <c r="C40" s="88">
        <f>C36+C38+C39</f>
        <v>4035</v>
      </c>
      <c r="D40" s="78">
        <f>D36+D38+D39</f>
        <v>859.63999999999987</v>
      </c>
      <c r="E40" s="78">
        <f>E36+E38+E39</f>
        <v>4894.6399999999994</v>
      </c>
      <c r="F40" s="88" t="e">
        <f>F36+F38</f>
        <v>#REF!</v>
      </c>
      <c r="G40" s="79">
        <f>G36+G38+G39</f>
        <v>4025.8</v>
      </c>
      <c r="H40" s="79">
        <f>H36+H38+H39</f>
        <v>5050.4000000000005</v>
      </c>
      <c r="I40" s="91">
        <f t="shared" si="1"/>
        <v>1.0318225650916106</v>
      </c>
      <c r="J40" s="91" t="e">
        <f t="shared" si="4"/>
        <v>#REF!</v>
      </c>
      <c r="K40" s="79">
        <f>K36+K38+K39</f>
        <v>4208</v>
      </c>
      <c r="L40" s="91">
        <f t="shared" si="3"/>
        <v>1.2001901140684412</v>
      </c>
      <c r="M40" s="79">
        <f>M36+M38+M39</f>
        <v>1024.5999999999999</v>
      </c>
      <c r="N40" s="79">
        <f>N36+N38+N39</f>
        <v>519.70000000000005</v>
      </c>
      <c r="O40" s="91">
        <f t="shared" si="14"/>
        <v>1.9715220319415043</v>
      </c>
      <c r="P40" s="92">
        <f>P36+P38</f>
        <v>25.8</v>
      </c>
      <c r="Q40" s="79">
        <f>Q36+Q38</f>
        <v>15.7</v>
      </c>
      <c r="R40" s="79">
        <f>R36+R38</f>
        <v>36.200000000000003</v>
      </c>
    </row>
    <row r="41" spans="1:20" ht="18">
      <c r="I41" s="154"/>
    </row>
  </sheetData>
  <mergeCells count="15"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  <mergeCell ref="C1:M1"/>
    <mergeCell ref="B2:R2"/>
    <mergeCell ref="G3:G4"/>
    <mergeCell ref="K3:L3"/>
    <mergeCell ref="H3:J3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0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R21" sqref="R21"/>
    </sheetView>
  </sheetViews>
  <sheetFormatPr defaultRowHeight="12.75"/>
  <cols>
    <col min="1" max="1" width="41.42578125" customWidth="1"/>
    <col min="2" max="2" width="14.85546875" customWidth="1"/>
    <col min="3" max="3" width="14.7109375" customWidth="1"/>
    <col min="4" max="4" width="13" customWidth="1"/>
    <col min="5" max="5" width="15.140625" customWidth="1"/>
    <col min="6" max="6" width="0.140625" hidden="1" customWidth="1"/>
    <col min="7" max="7" width="10.85546875" customWidth="1"/>
    <col min="8" max="8" width="12" customWidth="1"/>
    <col min="9" max="9" width="12.42578125" customWidth="1"/>
    <col min="10" max="10" width="9.85546875" hidden="1" customWidth="1"/>
    <col min="11" max="12" width="13.42578125" customWidth="1"/>
    <col min="13" max="13" width="11" customWidth="1"/>
    <col min="14" max="14" width="11.7109375" customWidth="1"/>
    <col min="15" max="15" width="14.28515625" customWidth="1"/>
    <col min="16" max="16" width="10.5703125" customWidth="1"/>
    <col min="17" max="18" width="9.85546875" customWidth="1"/>
    <col min="19" max="19" width="9.140625" hidden="1" customWidth="1"/>
    <col min="20" max="20" width="10.28515625" bestFit="1" customWidth="1"/>
  </cols>
  <sheetData>
    <row r="1" spans="1:20" ht="15.75">
      <c r="A1" s="26"/>
      <c r="B1" s="48"/>
      <c r="C1" s="194" t="s">
        <v>11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49"/>
      <c r="O1" s="49"/>
      <c r="P1" s="26"/>
      <c r="Q1" s="26"/>
      <c r="R1" s="26"/>
    </row>
    <row r="2" spans="1:20" ht="15.75">
      <c r="A2" s="26"/>
      <c r="B2" s="199" t="s">
        <v>132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20" ht="13.5" customHeight="1">
      <c r="A3" s="189" t="s">
        <v>3</v>
      </c>
      <c r="B3" s="189" t="s">
        <v>4</v>
      </c>
      <c r="C3" s="189" t="s">
        <v>115</v>
      </c>
      <c r="D3" s="189" t="s">
        <v>24</v>
      </c>
      <c r="E3" s="189" t="s">
        <v>116</v>
      </c>
      <c r="F3" s="189" t="s">
        <v>99</v>
      </c>
      <c r="G3" s="189" t="s">
        <v>122</v>
      </c>
      <c r="H3" s="189" t="s">
        <v>117</v>
      </c>
      <c r="I3" s="189"/>
      <c r="J3" s="189"/>
      <c r="K3" s="189" t="s">
        <v>113</v>
      </c>
      <c r="L3" s="189"/>
      <c r="M3" s="189" t="s">
        <v>126</v>
      </c>
      <c r="N3" s="189" t="s">
        <v>127</v>
      </c>
      <c r="O3" s="189" t="s">
        <v>30</v>
      </c>
      <c r="P3" s="189" t="s">
        <v>9</v>
      </c>
      <c r="Q3" s="189"/>
      <c r="R3" s="189"/>
    </row>
    <row r="4" spans="1:20" ht="93.75" customHeight="1">
      <c r="A4" s="198"/>
      <c r="B4" s="198"/>
      <c r="C4" s="189"/>
      <c r="D4" s="189"/>
      <c r="E4" s="189"/>
      <c r="F4" s="189"/>
      <c r="G4" s="189"/>
      <c r="H4" s="185" t="s">
        <v>125</v>
      </c>
      <c r="I4" s="185" t="s">
        <v>10</v>
      </c>
      <c r="J4" s="185" t="s">
        <v>29</v>
      </c>
      <c r="K4" s="185" t="s">
        <v>125</v>
      </c>
      <c r="L4" s="185" t="s">
        <v>30</v>
      </c>
      <c r="M4" s="189"/>
      <c r="N4" s="189"/>
      <c r="O4" s="189"/>
      <c r="P4" s="122" t="s">
        <v>118</v>
      </c>
      <c r="Q4" s="122" t="s">
        <v>123</v>
      </c>
      <c r="R4" s="122" t="s">
        <v>128</v>
      </c>
    </row>
    <row r="5" spans="1:20" ht="17.25" customHeight="1">
      <c r="A5" s="29" t="s">
        <v>21</v>
      </c>
      <c r="B5" s="29"/>
      <c r="C5" s="89">
        <f t="shared" ref="C5:H5" si="0">C6+C15+C17+C22+C23+C10</f>
        <v>2009.1999999999998</v>
      </c>
      <c r="D5" s="89">
        <f t="shared" si="0"/>
        <v>2.6</v>
      </c>
      <c r="E5" s="89">
        <f t="shared" si="0"/>
        <v>2011.7999999999997</v>
      </c>
      <c r="F5" s="89">
        <f t="shared" si="0"/>
        <v>0</v>
      </c>
      <c r="G5" s="89">
        <f t="shared" si="0"/>
        <v>1770.1000000000004</v>
      </c>
      <c r="H5" s="89">
        <f t="shared" si="0"/>
        <v>1993</v>
      </c>
      <c r="I5" s="90">
        <f t="shared" ref="I5:I39" si="1">IF(E5&gt;0,H5/E5,0)</f>
        <v>0.99065513470523925</v>
      </c>
      <c r="J5" s="90">
        <f>IF(F5&gt;0,H5/F5,0)</f>
        <v>0</v>
      </c>
      <c r="K5" s="89">
        <f>K6+K15+K17+K22+K23+K10</f>
        <v>1940.6</v>
      </c>
      <c r="L5" s="90">
        <f>IF(K5&gt;0,H5/K5,0)</f>
        <v>1.0270019581572709</v>
      </c>
      <c r="M5" s="89">
        <f>M6+M15+M17+M22+M23+M10</f>
        <v>222.89999999999998</v>
      </c>
      <c r="N5" s="89">
        <f>N6+N15+N17+N22+N23+N10</f>
        <v>162.9</v>
      </c>
      <c r="O5" s="90">
        <f t="shared" ref="O5:O39" si="2">IF(N5&gt;0,M5/N5,0)</f>
        <v>1.3683241252302023</v>
      </c>
      <c r="P5" s="89">
        <f>P6+P15+P17+P22+P23+P10</f>
        <v>57.000000000000007</v>
      </c>
      <c r="Q5" s="89">
        <f>Q6+Q15+Q17+Q22+Q23+Q10</f>
        <v>40.5</v>
      </c>
      <c r="R5" s="89">
        <f>R6+R15+R17+R22+R23+R10</f>
        <v>53.7</v>
      </c>
      <c r="T5" s="26"/>
    </row>
    <row r="6" spans="1:20" ht="18">
      <c r="A6" s="9" t="s">
        <v>63</v>
      </c>
      <c r="B6" s="30">
        <v>1010200001</v>
      </c>
      <c r="C6" s="72">
        <f t="shared" ref="C6:H6" si="3">C7+C8+C9</f>
        <v>843.1</v>
      </c>
      <c r="D6" s="72">
        <f t="shared" si="3"/>
        <v>0</v>
      </c>
      <c r="E6" s="72">
        <f t="shared" si="3"/>
        <v>843.1</v>
      </c>
      <c r="F6" s="72">
        <f t="shared" si="3"/>
        <v>0</v>
      </c>
      <c r="G6" s="72">
        <f t="shared" si="3"/>
        <v>722.30000000000007</v>
      </c>
      <c r="H6" s="72">
        <f t="shared" si="3"/>
        <v>838.19999999999993</v>
      </c>
      <c r="I6" s="87">
        <f t="shared" si="1"/>
        <v>0.99418811528881501</v>
      </c>
      <c r="J6" s="87">
        <f>IF(F6&gt;0,H6/F6,0)</f>
        <v>0</v>
      </c>
      <c r="K6" s="93">
        <f>SUM(K7:K9)</f>
        <v>882</v>
      </c>
      <c r="L6" s="87">
        <f t="shared" ref="L6:L39" si="4">IF(K6&gt;0,H6/K6,0)</f>
        <v>0.95034013605442169</v>
      </c>
      <c r="M6" s="72">
        <f>M7+M8+M9</f>
        <v>115.89999999999999</v>
      </c>
      <c r="N6" s="72">
        <f>N7+N8+N9</f>
        <v>92.1</v>
      </c>
      <c r="O6" s="87">
        <f t="shared" si="2"/>
        <v>1.2584147665580889</v>
      </c>
      <c r="P6" s="72">
        <f>P7+P8+P9</f>
        <v>8.6</v>
      </c>
      <c r="Q6" s="72">
        <f>Q7+Q8+Q9</f>
        <v>9.1999999999999993</v>
      </c>
      <c r="R6" s="72">
        <f>R7+R8+R9</f>
        <v>8.8000000000000007</v>
      </c>
      <c r="T6" s="26"/>
    </row>
    <row r="7" spans="1:20" ht="21" customHeight="1">
      <c r="A7" s="10" t="s">
        <v>44</v>
      </c>
      <c r="B7" s="13">
        <v>1010201001</v>
      </c>
      <c r="C7" s="71">
        <v>843.1</v>
      </c>
      <c r="D7" s="83"/>
      <c r="E7" s="71">
        <f>C7+D7</f>
        <v>843.1</v>
      </c>
      <c r="F7" s="71"/>
      <c r="G7" s="68">
        <v>720.6</v>
      </c>
      <c r="H7" s="68">
        <f>G7+M7</f>
        <v>836.9</v>
      </c>
      <c r="I7" s="77">
        <f t="shared" si="1"/>
        <v>0.99264618669197002</v>
      </c>
      <c r="J7" s="77">
        <f t="shared" ref="J7:J37" si="5">IF(F7&gt;0,H7/F7,0)</f>
        <v>0</v>
      </c>
      <c r="K7" s="68">
        <v>881.4</v>
      </c>
      <c r="L7" s="77">
        <f t="shared" si="4"/>
        <v>0.9495121397776265</v>
      </c>
      <c r="M7" s="68">
        <v>116.3</v>
      </c>
      <c r="N7" s="68">
        <v>91.5</v>
      </c>
      <c r="O7" s="77">
        <f t="shared" si="2"/>
        <v>1.2710382513661203</v>
      </c>
      <c r="P7" s="71">
        <v>8.4</v>
      </c>
      <c r="Q7" s="71">
        <v>9.1999999999999993</v>
      </c>
      <c r="R7" s="71">
        <v>8.8000000000000007</v>
      </c>
      <c r="T7" s="172"/>
    </row>
    <row r="8" spans="1:20" ht="18" customHeight="1">
      <c r="A8" s="10" t="s">
        <v>43</v>
      </c>
      <c r="B8" s="13">
        <v>1010202001</v>
      </c>
      <c r="C8" s="71"/>
      <c r="D8" s="68"/>
      <c r="E8" s="71">
        <f>C8+D8</f>
        <v>0</v>
      </c>
      <c r="F8" s="71"/>
      <c r="G8" s="71"/>
      <c r="H8" s="68">
        <f>G8+M8</f>
        <v>0</v>
      </c>
      <c r="I8" s="77">
        <f t="shared" si="1"/>
        <v>0</v>
      </c>
      <c r="J8" s="77">
        <f t="shared" si="5"/>
        <v>0</v>
      </c>
      <c r="K8" s="71"/>
      <c r="L8" s="77">
        <f>IF(K8&gt;0,H8/K8,0)</f>
        <v>0</v>
      </c>
      <c r="M8" s="71"/>
      <c r="N8" s="71"/>
      <c r="O8" s="77">
        <f t="shared" si="2"/>
        <v>0</v>
      </c>
      <c r="P8" s="71"/>
      <c r="Q8" s="71"/>
      <c r="R8" s="71"/>
      <c r="T8" s="26"/>
    </row>
    <row r="9" spans="1:20" ht="20.25" customHeight="1">
      <c r="A9" s="10" t="s">
        <v>42</v>
      </c>
      <c r="B9" s="13">
        <v>1010203001</v>
      </c>
      <c r="C9" s="71"/>
      <c r="D9" s="71"/>
      <c r="E9" s="71">
        <f>C9+D9</f>
        <v>0</v>
      </c>
      <c r="F9" s="71"/>
      <c r="G9" s="71">
        <v>1.7</v>
      </c>
      <c r="H9" s="68">
        <f>G9+M9</f>
        <v>1.2999999999999998</v>
      </c>
      <c r="I9" s="77">
        <f t="shared" si="1"/>
        <v>0</v>
      </c>
      <c r="J9" s="77">
        <f t="shared" si="5"/>
        <v>0</v>
      </c>
      <c r="K9" s="71">
        <v>0.6</v>
      </c>
      <c r="L9" s="77">
        <f t="shared" si="4"/>
        <v>2.1666666666666665</v>
      </c>
      <c r="M9" s="71">
        <v>-0.4</v>
      </c>
      <c r="N9" s="71">
        <v>0.6</v>
      </c>
      <c r="O9" s="77">
        <f t="shared" si="2"/>
        <v>-0.66666666666666674</v>
      </c>
      <c r="P9" s="71">
        <v>0.2</v>
      </c>
      <c r="Q9" s="71"/>
      <c r="R9" s="71"/>
      <c r="T9" s="26"/>
    </row>
    <row r="10" spans="1:20" ht="16.5" customHeight="1">
      <c r="A10" s="11" t="s">
        <v>48</v>
      </c>
      <c r="B10" s="19">
        <v>1030200001</v>
      </c>
      <c r="C10" s="72">
        <f t="shared" ref="C10:H10" si="6">SUM(C11:C14)</f>
        <v>646.1</v>
      </c>
      <c r="D10" s="72">
        <f t="shared" si="6"/>
        <v>0</v>
      </c>
      <c r="E10" s="72">
        <f t="shared" si="6"/>
        <v>646.1</v>
      </c>
      <c r="F10" s="72"/>
      <c r="G10" s="72">
        <f>SUM(G11:G14)</f>
        <v>684.1</v>
      </c>
      <c r="H10" s="72">
        <f t="shared" si="6"/>
        <v>745.5</v>
      </c>
      <c r="I10" s="66">
        <f t="shared" si="1"/>
        <v>1.1538461538461537</v>
      </c>
      <c r="J10" s="66">
        <f>IF(F10&gt;0,H10/F10,0)</f>
        <v>0</v>
      </c>
      <c r="K10" s="72">
        <f>SUM(K11:K14)</f>
        <v>624.19999999999993</v>
      </c>
      <c r="L10" s="66">
        <f t="shared" si="4"/>
        <v>1.1943287407882091</v>
      </c>
      <c r="M10" s="72">
        <f>SUM(M11:M14)</f>
        <v>61.399999999999991</v>
      </c>
      <c r="N10" s="72">
        <f>SUM(N11:N14)</f>
        <v>55.4</v>
      </c>
      <c r="O10" s="66">
        <f t="shared" si="2"/>
        <v>1.1083032490974729</v>
      </c>
      <c r="P10" s="72">
        <f>SUM(P11:P14)</f>
        <v>0</v>
      </c>
      <c r="Q10" s="72">
        <f>SUM(Q11:Q14)</f>
        <v>0</v>
      </c>
      <c r="R10" s="72">
        <f>SUM(R11:R14)</f>
        <v>0</v>
      </c>
      <c r="T10" s="26"/>
    </row>
    <row r="11" spans="1:20" ht="20.25" customHeight="1">
      <c r="A11" s="12" t="s">
        <v>49</v>
      </c>
      <c r="B11" s="12">
        <v>1030223101</v>
      </c>
      <c r="C11" s="71">
        <v>292.10000000000002</v>
      </c>
      <c r="D11" s="71"/>
      <c r="E11" s="67">
        <f>C11+D11</f>
        <v>292.10000000000002</v>
      </c>
      <c r="F11" s="67"/>
      <c r="G11" s="71">
        <v>341.8</v>
      </c>
      <c r="H11" s="69">
        <f>G11+M11</f>
        <v>373.7</v>
      </c>
      <c r="I11" s="70">
        <f t="shared" si="1"/>
        <v>1.279356384799726</v>
      </c>
      <c r="J11" s="70">
        <f>IF(F11&gt;0,H11/F11,0)</f>
        <v>0</v>
      </c>
      <c r="K11" s="71">
        <v>288.10000000000002</v>
      </c>
      <c r="L11" s="70">
        <f t="shared" si="4"/>
        <v>1.2971190558833736</v>
      </c>
      <c r="M11" s="71">
        <v>31.9</v>
      </c>
      <c r="N11" s="71">
        <v>27.4</v>
      </c>
      <c r="O11" s="70">
        <f t="shared" si="2"/>
        <v>1.1642335766423357</v>
      </c>
      <c r="P11" s="71"/>
      <c r="Q11" s="71"/>
      <c r="R11" s="71"/>
      <c r="T11" s="26"/>
    </row>
    <row r="12" spans="1:20" ht="18" customHeight="1">
      <c r="A12" s="12" t="s">
        <v>50</v>
      </c>
      <c r="B12" s="12">
        <v>1030224101</v>
      </c>
      <c r="C12" s="71">
        <v>1.6</v>
      </c>
      <c r="D12" s="71"/>
      <c r="E12" s="67">
        <f>C12+D12</f>
        <v>1.6</v>
      </c>
      <c r="F12" s="67"/>
      <c r="G12" s="71">
        <v>1.9</v>
      </c>
      <c r="H12" s="69">
        <f>G12+M12</f>
        <v>2</v>
      </c>
      <c r="I12" s="70">
        <f t="shared" si="1"/>
        <v>1.25</v>
      </c>
      <c r="J12" s="70">
        <f>IF(F12&gt;0,H12/F12,0)</f>
        <v>0</v>
      </c>
      <c r="K12" s="71">
        <v>2</v>
      </c>
      <c r="L12" s="70">
        <f t="shared" si="4"/>
        <v>1</v>
      </c>
      <c r="M12" s="71">
        <v>0.1</v>
      </c>
      <c r="N12" s="71">
        <v>0.2</v>
      </c>
      <c r="O12" s="70">
        <f t="shared" si="2"/>
        <v>0.5</v>
      </c>
      <c r="P12" s="71"/>
      <c r="Q12" s="71"/>
      <c r="R12" s="71"/>
      <c r="T12" s="26"/>
    </row>
    <row r="13" spans="1:20" ht="18" customHeight="1">
      <c r="A13" s="12" t="s">
        <v>51</v>
      </c>
      <c r="B13" s="12">
        <v>1030225101</v>
      </c>
      <c r="C13" s="71">
        <v>389</v>
      </c>
      <c r="D13" s="71"/>
      <c r="E13" s="67">
        <f>C13+D13</f>
        <v>389</v>
      </c>
      <c r="F13" s="67"/>
      <c r="G13" s="71">
        <v>380.5</v>
      </c>
      <c r="H13" s="69">
        <f>G13+M13</f>
        <v>412.6</v>
      </c>
      <c r="I13" s="70">
        <f t="shared" si="1"/>
        <v>1.060668380462725</v>
      </c>
      <c r="J13" s="70">
        <f>IF(F13&gt;0,H13/F13,0)</f>
        <v>0</v>
      </c>
      <c r="K13" s="71">
        <v>383.2</v>
      </c>
      <c r="L13" s="70">
        <f t="shared" si="4"/>
        <v>1.076722338204593</v>
      </c>
      <c r="M13" s="71">
        <v>32.1</v>
      </c>
      <c r="N13" s="71">
        <v>32.700000000000003</v>
      </c>
      <c r="O13" s="70">
        <f t="shared" si="2"/>
        <v>0.98165137614678899</v>
      </c>
      <c r="P13" s="71"/>
      <c r="Q13" s="71"/>
      <c r="R13" s="71"/>
      <c r="T13" s="26"/>
    </row>
    <row r="14" spans="1:20" ht="19.5" customHeight="1">
      <c r="A14" s="12" t="s">
        <v>52</v>
      </c>
      <c r="B14" s="12">
        <v>1030226101</v>
      </c>
      <c r="C14" s="71">
        <v>-36.6</v>
      </c>
      <c r="D14" s="71"/>
      <c r="E14" s="67">
        <f>C14+D14</f>
        <v>-36.6</v>
      </c>
      <c r="F14" s="67"/>
      <c r="G14" s="71">
        <v>-40.1</v>
      </c>
      <c r="H14" s="69">
        <f>G14+M14</f>
        <v>-42.800000000000004</v>
      </c>
      <c r="I14" s="70">
        <f t="shared" si="1"/>
        <v>0</v>
      </c>
      <c r="J14" s="70">
        <f>IF(F14&gt;0,H14/F14,0)</f>
        <v>0</v>
      </c>
      <c r="K14" s="71">
        <v>-49.1</v>
      </c>
      <c r="L14" s="70">
        <f t="shared" si="4"/>
        <v>0</v>
      </c>
      <c r="M14" s="71">
        <v>-2.7</v>
      </c>
      <c r="N14" s="71">
        <v>-4.9000000000000004</v>
      </c>
      <c r="O14" s="70">
        <f t="shared" si="2"/>
        <v>0</v>
      </c>
      <c r="P14" s="71"/>
      <c r="Q14" s="71"/>
      <c r="R14" s="71"/>
      <c r="T14" s="26"/>
    </row>
    <row r="15" spans="1:20" ht="18">
      <c r="A15" s="9" t="s">
        <v>70</v>
      </c>
      <c r="B15" s="30">
        <v>1050000000</v>
      </c>
      <c r="C15" s="72">
        <f t="shared" ref="C15:H15" si="7">C16</f>
        <v>185</v>
      </c>
      <c r="D15" s="73">
        <f t="shared" si="7"/>
        <v>-58.7</v>
      </c>
      <c r="E15" s="73">
        <f t="shared" si="7"/>
        <v>126.3</v>
      </c>
      <c r="F15" s="73">
        <f t="shared" si="7"/>
        <v>0</v>
      </c>
      <c r="G15" s="72">
        <f>G16</f>
        <v>5.2</v>
      </c>
      <c r="H15" s="73">
        <f t="shared" si="7"/>
        <v>5.2</v>
      </c>
      <c r="I15" s="87">
        <f t="shared" si="1"/>
        <v>4.1171813143309581E-2</v>
      </c>
      <c r="J15" s="87">
        <f t="shared" si="5"/>
        <v>0</v>
      </c>
      <c r="K15" s="72">
        <f>K16</f>
        <v>182.9</v>
      </c>
      <c r="L15" s="87">
        <f t="shared" si="4"/>
        <v>2.8430836522689993E-2</v>
      </c>
      <c r="M15" s="72">
        <f>M16</f>
        <v>0</v>
      </c>
      <c r="N15" s="72">
        <f>N16</f>
        <v>0</v>
      </c>
      <c r="O15" s="87">
        <f t="shared" si="2"/>
        <v>0</v>
      </c>
      <c r="P15" s="72">
        <f>P16</f>
        <v>0</v>
      </c>
      <c r="Q15" s="72">
        <f>Q16</f>
        <v>0</v>
      </c>
      <c r="R15" s="72">
        <f>R16</f>
        <v>0</v>
      </c>
      <c r="T15" s="26"/>
    </row>
    <row r="16" spans="1:20" ht="18">
      <c r="A16" s="13" t="s">
        <v>7</v>
      </c>
      <c r="B16" s="13">
        <v>1050300001</v>
      </c>
      <c r="C16" s="71">
        <v>185</v>
      </c>
      <c r="D16" s="68">
        <v>-58.7</v>
      </c>
      <c r="E16" s="71">
        <f>C16+D16</f>
        <v>126.3</v>
      </c>
      <c r="F16" s="71"/>
      <c r="G16" s="71">
        <v>5.2</v>
      </c>
      <c r="H16" s="68">
        <f>G16+M16</f>
        <v>5.2</v>
      </c>
      <c r="I16" s="77">
        <f t="shared" si="1"/>
        <v>4.1171813143309581E-2</v>
      </c>
      <c r="J16" s="77">
        <f t="shared" si="5"/>
        <v>0</v>
      </c>
      <c r="K16" s="71">
        <v>182.9</v>
      </c>
      <c r="L16" s="77">
        <f t="shared" si="4"/>
        <v>2.8430836522689993E-2</v>
      </c>
      <c r="M16" s="71"/>
      <c r="N16" s="71"/>
      <c r="O16" s="77">
        <f t="shared" si="2"/>
        <v>0</v>
      </c>
      <c r="P16" s="71"/>
      <c r="Q16" s="71"/>
      <c r="R16" s="71"/>
      <c r="T16" s="26"/>
    </row>
    <row r="17" spans="1:20" ht="18">
      <c r="A17" s="9" t="s">
        <v>71</v>
      </c>
      <c r="B17" s="30">
        <v>1060000000</v>
      </c>
      <c r="C17" s="72">
        <f t="shared" ref="C17:H17" si="8">C18+C21</f>
        <v>330</v>
      </c>
      <c r="D17" s="73">
        <f t="shared" si="8"/>
        <v>58.7</v>
      </c>
      <c r="E17" s="73">
        <f t="shared" si="8"/>
        <v>388.7</v>
      </c>
      <c r="F17" s="73">
        <f t="shared" si="8"/>
        <v>0</v>
      </c>
      <c r="G17" s="72">
        <f>G18+G21</f>
        <v>351.1</v>
      </c>
      <c r="H17" s="73">
        <f t="shared" si="8"/>
        <v>396.5</v>
      </c>
      <c r="I17" s="87">
        <f t="shared" si="1"/>
        <v>1.020066889632107</v>
      </c>
      <c r="J17" s="87">
        <f t="shared" si="5"/>
        <v>0</v>
      </c>
      <c r="K17" s="72">
        <f>K18+K21</f>
        <v>244.3</v>
      </c>
      <c r="L17" s="87">
        <f t="shared" si="4"/>
        <v>1.623004502660663</v>
      </c>
      <c r="M17" s="72">
        <f>M18+M21</f>
        <v>45.4</v>
      </c>
      <c r="N17" s="72">
        <f>N18+N21</f>
        <v>14.5</v>
      </c>
      <c r="O17" s="87">
        <f t="shared" si="2"/>
        <v>3.1310344827586207</v>
      </c>
      <c r="P17" s="72">
        <f>P18+P21</f>
        <v>48.400000000000006</v>
      </c>
      <c r="Q17" s="72">
        <f>Q18+Q21</f>
        <v>31.3</v>
      </c>
      <c r="R17" s="72">
        <f>R18+R21</f>
        <v>44.900000000000006</v>
      </c>
      <c r="T17" s="26"/>
    </row>
    <row r="18" spans="1:20" ht="18">
      <c r="A18" s="13" t="s">
        <v>13</v>
      </c>
      <c r="B18" s="13">
        <v>1060600000</v>
      </c>
      <c r="C18" s="71">
        <f t="shared" ref="C18:H18" si="9">C19+C20</f>
        <v>283</v>
      </c>
      <c r="D18" s="68">
        <f t="shared" si="9"/>
        <v>50.7</v>
      </c>
      <c r="E18" s="68">
        <f t="shared" si="9"/>
        <v>333.7</v>
      </c>
      <c r="F18" s="68">
        <f t="shared" si="9"/>
        <v>0</v>
      </c>
      <c r="G18" s="68">
        <f>G19+G20</f>
        <v>305.8</v>
      </c>
      <c r="H18" s="68">
        <f t="shared" si="9"/>
        <v>338.6</v>
      </c>
      <c r="I18" s="77">
        <f t="shared" si="1"/>
        <v>1.0146838477674558</v>
      </c>
      <c r="J18" s="77">
        <f t="shared" si="5"/>
        <v>0</v>
      </c>
      <c r="K18" s="68">
        <f>K19+K20</f>
        <v>187.6</v>
      </c>
      <c r="L18" s="77">
        <f t="shared" si="4"/>
        <v>1.8049040511727081</v>
      </c>
      <c r="M18" s="68">
        <f>M19+M20</f>
        <v>32.799999999999997</v>
      </c>
      <c r="N18" s="68">
        <f>N19+N20</f>
        <v>6.7</v>
      </c>
      <c r="O18" s="77">
        <f t="shared" si="2"/>
        <v>4.8955223880597005</v>
      </c>
      <c r="P18" s="71">
        <f>P19+P20</f>
        <v>34.200000000000003</v>
      </c>
      <c r="Q18" s="71">
        <f>Q19+Q20</f>
        <v>23.5</v>
      </c>
      <c r="R18" s="71">
        <f>R19+R20</f>
        <v>31.1</v>
      </c>
      <c r="T18" s="26"/>
    </row>
    <row r="19" spans="1:20" ht="18">
      <c r="A19" s="13" t="s">
        <v>100</v>
      </c>
      <c r="B19" s="13">
        <v>1060603310</v>
      </c>
      <c r="C19" s="71">
        <v>196</v>
      </c>
      <c r="D19" s="68">
        <v>85.7</v>
      </c>
      <c r="E19" s="71">
        <f>C19+D19</f>
        <v>281.7</v>
      </c>
      <c r="F19" s="71"/>
      <c r="G19" s="71">
        <v>258.60000000000002</v>
      </c>
      <c r="H19" s="68">
        <f>G19+M19</f>
        <v>283.8</v>
      </c>
      <c r="I19" s="77">
        <f t="shared" si="1"/>
        <v>1.0074547390841322</v>
      </c>
      <c r="J19" s="77">
        <f t="shared" si="5"/>
        <v>0</v>
      </c>
      <c r="K19" s="71">
        <v>96.6</v>
      </c>
      <c r="L19" s="77">
        <f t="shared" si="4"/>
        <v>2.9378881987577641</v>
      </c>
      <c r="M19" s="71">
        <v>25.2</v>
      </c>
      <c r="N19" s="71">
        <v>0.4</v>
      </c>
      <c r="O19" s="77">
        <f t="shared" si="2"/>
        <v>62.999999999999993</v>
      </c>
      <c r="P19" s="71"/>
      <c r="Q19" s="71"/>
      <c r="R19" s="71"/>
      <c r="T19" s="26"/>
    </row>
    <row r="20" spans="1:20" ht="18">
      <c r="A20" s="13" t="s">
        <v>101</v>
      </c>
      <c r="B20" s="13">
        <v>1060604310</v>
      </c>
      <c r="C20" s="71">
        <v>87</v>
      </c>
      <c r="D20" s="68">
        <v>-35</v>
      </c>
      <c r="E20" s="71">
        <f>C20+D20</f>
        <v>52</v>
      </c>
      <c r="F20" s="71"/>
      <c r="G20" s="71">
        <v>47.2</v>
      </c>
      <c r="H20" s="68">
        <f>G20+M20</f>
        <v>54.800000000000004</v>
      </c>
      <c r="I20" s="77">
        <f t="shared" si="1"/>
        <v>1.0538461538461539</v>
      </c>
      <c r="J20" s="77">
        <f t="shared" si="5"/>
        <v>0</v>
      </c>
      <c r="K20" s="71">
        <v>91</v>
      </c>
      <c r="L20" s="77">
        <f t="shared" si="4"/>
        <v>0.60219780219780228</v>
      </c>
      <c r="M20" s="71">
        <v>7.6</v>
      </c>
      <c r="N20" s="71">
        <v>6.3</v>
      </c>
      <c r="O20" s="77">
        <f t="shared" si="2"/>
        <v>1.2063492063492063</v>
      </c>
      <c r="P20" s="71">
        <v>34.200000000000003</v>
      </c>
      <c r="Q20" s="71">
        <v>23.5</v>
      </c>
      <c r="R20" s="71">
        <v>31.1</v>
      </c>
      <c r="T20" s="26"/>
    </row>
    <row r="21" spans="1:20" ht="18">
      <c r="A21" s="13" t="s">
        <v>12</v>
      </c>
      <c r="B21" s="13">
        <v>1060103010</v>
      </c>
      <c r="C21" s="71">
        <v>47</v>
      </c>
      <c r="D21" s="68">
        <v>8</v>
      </c>
      <c r="E21" s="71">
        <f>C21+D21</f>
        <v>55</v>
      </c>
      <c r="F21" s="71"/>
      <c r="G21" s="71">
        <v>45.3</v>
      </c>
      <c r="H21" s="68">
        <f>G21+M21</f>
        <v>57.9</v>
      </c>
      <c r="I21" s="77">
        <f t="shared" si="1"/>
        <v>1.0527272727272727</v>
      </c>
      <c r="J21" s="77">
        <f t="shared" si="5"/>
        <v>0</v>
      </c>
      <c r="K21" s="71">
        <v>56.7</v>
      </c>
      <c r="L21" s="77">
        <f t="shared" si="4"/>
        <v>1.0211640211640212</v>
      </c>
      <c r="M21" s="71">
        <v>12.6</v>
      </c>
      <c r="N21" s="71">
        <v>7.8</v>
      </c>
      <c r="O21" s="77">
        <f t="shared" si="2"/>
        <v>1.6153846153846154</v>
      </c>
      <c r="P21" s="71">
        <v>14.2</v>
      </c>
      <c r="Q21" s="71">
        <v>7.8</v>
      </c>
      <c r="R21" s="71">
        <v>13.8</v>
      </c>
      <c r="T21" s="172"/>
    </row>
    <row r="22" spans="1:20" ht="17.25" customHeight="1">
      <c r="A22" s="9" t="s">
        <v>72</v>
      </c>
      <c r="B22" s="30">
        <v>1080402001</v>
      </c>
      <c r="C22" s="72">
        <v>5</v>
      </c>
      <c r="D22" s="73">
        <v>2.6</v>
      </c>
      <c r="E22" s="72">
        <f>C22+D22</f>
        <v>7.6</v>
      </c>
      <c r="F22" s="72"/>
      <c r="G22" s="72">
        <v>7.4</v>
      </c>
      <c r="H22" s="73">
        <f>G22+M22</f>
        <v>7.6000000000000005</v>
      </c>
      <c r="I22" s="87">
        <f t="shared" si="1"/>
        <v>1.0000000000000002</v>
      </c>
      <c r="J22" s="87">
        <f t="shared" si="5"/>
        <v>0</v>
      </c>
      <c r="K22" s="72">
        <v>7.2</v>
      </c>
      <c r="L22" s="87">
        <f t="shared" si="4"/>
        <v>1.0555555555555556</v>
      </c>
      <c r="M22" s="72">
        <v>0.2</v>
      </c>
      <c r="N22" s="72">
        <v>0.9</v>
      </c>
      <c r="O22" s="87">
        <f t="shared" si="2"/>
        <v>0.22222222222222224</v>
      </c>
      <c r="P22" s="72"/>
      <c r="Q22" s="72"/>
      <c r="R22" s="72"/>
      <c r="T22" s="26"/>
    </row>
    <row r="23" spans="1:20" ht="18" hidden="1">
      <c r="A23" s="9" t="s">
        <v>73</v>
      </c>
      <c r="B23" s="30">
        <v>1090405010</v>
      </c>
      <c r="C23" s="72"/>
      <c r="D23" s="72"/>
      <c r="E23" s="72">
        <f>C23+D23</f>
        <v>0</v>
      </c>
      <c r="F23" s="72"/>
      <c r="G23" s="72"/>
      <c r="H23" s="73">
        <f>G23+M23</f>
        <v>0</v>
      </c>
      <c r="I23" s="87">
        <f t="shared" si="1"/>
        <v>0</v>
      </c>
      <c r="J23" s="87">
        <f t="shared" si="5"/>
        <v>0</v>
      </c>
      <c r="K23" s="72"/>
      <c r="L23" s="87">
        <f t="shared" si="4"/>
        <v>0</v>
      </c>
      <c r="M23" s="72"/>
      <c r="N23" s="72"/>
      <c r="O23" s="87">
        <f t="shared" si="2"/>
        <v>0</v>
      </c>
      <c r="P23" s="72"/>
      <c r="Q23" s="72"/>
      <c r="R23" s="72"/>
      <c r="T23" s="26"/>
    </row>
    <row r="24" spans="1:20" ht="18">
      <c r="A24" s="32" t="s">
        <v>22</v>
      </c>
      <c r="B24" s="32"/>
      <c r="C24" s="86">
        <f t="shared" ref="C24:H24" si="10">C25+C28+C32+C29+C31+C30</f>
        <v>106</v>
      </c>
      <c r="D24" s="86">
        <f t="shared" si="10"/>
        <v>-2.5999999999999996</v>
      </c>
      <c r="E24" s="86">
        <f t="shared" si="10"/>
        <v>103.40000000000002</v>
      </c>
      <c r="F24" s="86">
        <f t="shared" si="10"/>
        <v>0</v>
      </c>
      <c r="G24" s="86">
        <f>G25+G28+G32+G29+G31+G30</f>
        <v>97.300000000000011</v>
      </c>
      <c r="H24" s="86">
        <f t="shared" si="10"/>
        <v>110.60000000000001</v>
      </c>
      <c r="I24" s="90">
        <f t="shared" si="1"/>
        <v>1.0696324951644098</v>
      </c>
      <c r="J24" s="90">
        <f t="shared" si="5"/>
        <v>0</v>
      </c>
      <c r="K24" s="86">
        <f>K25+K28+K32+K29+K31+K30</f>
        <v>882.39999999999986</v>
      </c>
      <c r="L24" s="90">
        <f t="shared" si="4"/>
        <v>0.12533998186763376</v>
      </c>
      <c r="M24" s="86">
        <f>M25+M28+M32+M29+M31+M30</f>
        <v>13.3</v>
      </c>
      <c r="N24" s="86">
        <f>N25+N28+N32+N29+N31+N30</f>
        <v>202.3</v>
      </c>
      <c r="O24" s="90">
        <f t="shared" si="2"/>
        <v>6.5743944636678195E-2</v>
      </c>
      <c r="P24" s="76">
        <f>P25+P28+P32+P29</f>
        <v>0</v>
      </c>
      <c r="Q24" s="76">
        <f>Q25+Q28+Q32+Q29</f>
        <v>0</v>
      </c>
      <c r="R24" s="76">
        <f>R25+R28+R32+R29</f>
        <v>0</v>
      </c>
      <c r="T24" s="26"/>
    </row>
    <row r="25" spans="1:20" ht="18">
      <c r="A25" s="9" t="s">
        <v>74</v>
      </c>
      <c r="B25" s="30">
        <v>1110000000</v>
      </c>
      <c r="C25" s="72">
        <f t="shared" ref="C25:H25" si="11">C26+C27</f>
        <v>106</v>
      </c>
      <c r="D25" s="72">
        <f t="shared" si="11"/>
        <v>-4.1499999999999995</v>
      </c>
      <c r="E25" s="72">
        <f t="shared" si="11"/>
        <v>101.85000000000001</v>
      </c>
      <c r="F25" s="72">
        <f t="shared" si="11"/>
        <v>0</v>
      </c>
      <c r="G25" s="72">
        <f>G26+G27</f>
        <v>95.7</v>
      </c>
      <c r="H25" s="72">
        <f t="shared" si="11"/>
        <v>102.4</v>
      </c>
      <c r="I25" s="87">
        <f t="shared" si="1"/>
        <v>1.0054000981836033</v>
      </c>
      <c r="J25" s="87">
        <f t="shared" si="5"/>
        <v>0</v>
      </c>
      <c r="K25" s="72">
        <f>K26+K27</f>
        <v>113.9</v>
      </c>
      <c r="L25" s="87">
        <f t="shared" si="4"/>
        <v>0.8990342405618964</v>
      </c>
      <c r="M25" s="72">
        <f>M26+M27</f>
        <v>6.7</v>
      </c>
      <c r="N25" s="72">
        <f>N26+N27</f>
        <v>22.4</v>
      </c>
      <c r="O25" s="87">
        <f t="shared" si="2"/>
        <v>0.2991071428571429</v>
      </c>
      <c r="P25" s="72">
        <f>P26+P27</f>
        <v>0</v>
      </c>
      <c r="Q25" s="72">
        <f>Q26+Q27</f>
        <v>0</v>
      </c>
      <c r="R25" s="72">
        <f>R26+R27</f>
        <v>0</v>
      </c>
      <c r="T25" s="26"/>
    </row>
    <row r="26" spans="1:20" ht="19.5" customHeight="1">
      <c r="A26" s="13" t="s">
        <v>106</v>
      </c>
      <c r="B26" s="13">
        <v>1110502510</v>
      </c>
      <c r="C26" s="71"/>
      <c r="D26" s="68">
        <v>0.2</v>
      </c>
      <c r="E26" s="71">
        <f t="shared" ref="E26:E31" si="12">C26+D26</f>
        <v>0.2</v>
      </c>
      <c r="F26" s="71"/>
      <c r="G26" s="71">
        <v>0.2</v>
      </c>
      <c r="H26" s="68">
        <f t="shared" ref="H26:H31" si="13">G26+M26</f>
        <v>0.2</v>
      </c>
      <c r="I26" s="77">
        <f t="shared" si="1"/>
        <v>1</v>
      </c>
      <c r="J26" s="77">
        <f t="shared" si="5"/>
        <v>0</v>
      </c>
      <c r="K26" s="71"/>
      <c r="L26" s="77">
        <f t="shared" si="4"/>
        <v>0</v>
      </c>
      <c r="M26" s="71"/>
      <c r="N26" s="71"/>
      <c r="O26" s="77">
        <f t="shared" si="2"/>
        <v>0</v>
      </c>
      <c r="P26" s="71"/>
      <c r="Q26" s="71"/>
      <c r="R26" s="71"/>
      <c r="T26" s="26"/>
    </row>
    <row r="27" spans="1:20" ht="18">
      <c r="A27" s="33" t="s">
        <v>23</v>
      </c>
      <c r="B27" s="13">
        <v>1110904510</v>
      </c>
      <c r="C27" s="71">
        <v>106</v>
      </c>
      <c r="D27" s="83">
        <v>-4.3499999999999996</v>
      </c>
      <c r="E27" s="71">
        <f t="shared" si="12"/>
        <v>101.65</v>
      </c>
      <c r="F27" s="71"/>
      <c r="G27" s="71">
        <v>95.5</v>
      </c>
      <c r="H27" s="68">
        <f t="shared" si="13"/>
        <v>102.2</v>
      </c>
      <c r="I27" s="77">
        <f t="shared" si="1"/>
        <v>1.0054107230693556</v>
      </c>
      <c r="J27" s="77">
        <f t="shared" si="5"/>
        <v>0</v>
      </c>
      <c r="K27" s="71">
        <v>113.9</v>
      </c>
      <c r="L27" s="77">
        <f t="shared" si="4"/>
        <v>0.89727831431079896</v>
      </c>
      <c r="M27" s="71">
        <v>6.7</v>
      </c>
      <c r="N27" s="71">
        <v>22.4</v>
      </c>
      <c r="O27" s="77">
        <f t="shared" si="2"/>
        <v>0.2991071428571429</v>
      </c>
      <c r="P27" s="71"/>
      <c r="Q27" s="71"/>
      <c r="R27" s="71"/>
      <c r="T27" s="26"/>
    </row>
    <row r="28" spans="1:20" ht="18">
      <c r="A28" s="9" t="s">
        <v>38</v>
      </c>
      <c r="B28" s="30">
        <v>1130299510</v>
      </c>
      <c r="C28" s="72"/>
      <c r="D28" s="72">
        <v>1.4</v>
      </c>
      <c r="E28" s="72">
        <f t="shared" si="12"/>
        <v>1.4</v>
      </c>
      <c r="F28" s="72"/>
      <c r="G28" s="72">
        <v>1.4</v>
      </c>
      <c r="H28" s="73">
        <f t="shared" si="13"/>
        <v>8</v>
      </c>
      <c r="I28" s="87">
        <f t="shared" si="1"/>
        <v>5.7142857142857144</v>
      </c>
      <c r="J28" s="87">
        <f t="shared" si="5"/>
        <v>0</v>
      </c>
      <c r="K28" s="72">
        <v>760.3</v>
      </c>
      <c r="L28" s="87">
        <f t="shared" si="4"/>
        <v>1.0522162304353546E-2</v>
      </c>
      <c r="M28" s="72">
        <v>6.6</v>
      </c>
      <c r="N28" s="72">
        <v>179</v>
      </c>
      <c r="O28" s="87">
        <f t="shared" si="2"/>
        <v>3.6871508379888264E-2</v>
      </c>
      <c r="P28" s="72"/>
      <c r="Q28" s="72"/>
      <c r="R28" s="72"/>
      <c r="T28" s="26"/>
    </row>
    <row r="29" spans="1:20" ht="18">
      <c r="A29" s="9" t="s">
        <v>76</v>
      </c>
      <c r="B29" s="30">
        <v>1140601410</v>
      </c>
      <c r="C29" s="72"/>
      <c r="D29" s="72"/>
      <c r="E29" s="72">
        <f t="shared" si="12"/>
        <v>0</v>
      </c>
      <c r="F29" s="72"/>
      <c r="G29" s="72"/>
      <c r="H29" s="73">
        <f t="shared" si="13"/>
        <v>0</v>
      </c>
      <c r="I29" s="87">
        <f>IF(E29&gt;0,H29/E29,0)</f>
        <v>0</v>
      </c>
      <c r="J29" s="87">
        <f>IF(F29&gt;0,H29/F29,0)</f>
        <v>0</v>
      </c>
      <c r="K29" s="72"/>
      <c r="L29" s="87">
        <f t="shared" si="4"/>
        <v>0</v>
      </c>
      <c r="M29" s="72"/>
      <c r="N29" s="72"/>
      <c r="O29" s="87">
        <f t="shared" si="2"/>
        <v>0</v>
      </c>
      <c r="P29" s="72"/>
      <c r="Q29" s="72"/>
      <c r="R29" s="72"/>
      <c r="T29" s="26"/>
    </row>
    <row r="30" spans="1:20" ht="18">
      <c r="A30" s="9" t="s">
        <v>75</v>
      </c>
      <c r="B30" s="30">
        <v>1140205310</v>
      </c>
      <c r="C30" s="72"/>
      <c r="D30" s="72"/>
      <c r="E30" s="72">
        <f t="shared" si="12"/>
        <v>0</v>
      </c>
      <c r="F30" s="72"/>
      <c r="G30" s="72"/>
      <c r="H30" s="73">
        <f t="shared" si="13"/>
        <v>0</v>
      </c>
      <c r="I30" s="87">
        <f>IF(E30&gt;0,H30/E30,0)</f>
        <v>0</v>
      </c>
      <c r="J30" s="87">
        <f>IF(F30&gt;0,H30/F30,0)</f>
        <v>0</v>
      </c>
      <c r="K30" s="72"/>
      <c r="L30" s="87">
        <f t="shared" si="4"/>
        <v>0</v>
      </c>
      <c r="M30" s="72"/>
      <c r="N30" s="72"/>
      <c r="O30" s="87">
        <f t="shared" si="2"/>
        <v>0</v>
      </c>
      <c r="P30" s="72"/>
      <c r="Q30" s="72"/>
      <c r="R30" s="72"/>
      <c r="T30" s="26"/>
    </row>
    <row r="31" spans="1:20" ht="18">
      <c r="A31" s="9" t="s">
        <v>79</v>
      </c>
      <c r="B31" s="30">
        <v>1169005010</v>
      </c>
      <c r="C31" s="72"/>
      <c r="D31" s="72"/>
      <c r="E31" s="72">
        <f t="shared" si="12"/>
        <v>0</v>
      </c>
      <c r="F31" s="72"/>
      <c r="G31" s="72"/>
      <c r="H31" s="73">
        <f t="shared" si="13"/>
        <v>0</v>
      </c>
      <c r="I31" s="87">
        <f>IF(E31&gt;0,H31/E31,0)</f>
        <v>0</v>
      </c>
      <c r="J31" s="87">
        <f>IF(F31&gt;0,H31/F31,0)</f>
        <v>0</v>
      </c>
      <c r="K31" s="72">
        <v>7.3</v>
      </c>
      <c r="L31" s="87">
        <f t="shared" si="4"/>
        <v>0</v>
      </c>
      <c r="M31" s="72"/>
      <c r="N31" s="72"/>
      <c r="O31" s="87">
        <f t="shared" si="2"/>
        <v>0</v>
      </c>
      <c r="P31" s="72"/>
      <c r="Q31" s="72"/>
      <c r="R31" s="72"/>
      <c r="T31" s="26"/>
    </row>
    <row r="32" spans="1:20" ht="18">
      <c r="A32" s="9" t="s">
        <v>69</v>
      </c>
      <c r="B32" s="30">
        <v>1170000000</v>
      </c>
      <c r="C32" s="72">
        <f>SUM(C33:C34)</f>
        <v>0</v>
      </c>
      <c r="D32" s="72">
        <f t="shared" ref="D32:R32" si="14">SUM(D33:D34)</f>
        <v>0.15</v>
      </c>
      <c r="E32" s="72">
        <f t="shared" si="14"/>
        <v>0.15</v>
      </c>
      <c r="F32" s="72">
        <f t="shared" si="14"/>
        <v>0</v>
      </c>
      <c r="G32" s="72">
        <f>SUM(G33:G34)</f>
        <v>0.2</v>
      </c>
      <c r="H32" s="72">
        <f t="shared" si="14"/>
        <v>0.2</v>
      </c>
      <c r="I32" s="87">
        <f>IF(E32&gt;0,H32/E32,0)</f>
        <v>1.3333333333333335</v>
      </c>
      <c r="J32" s="87">
        <f>IF(F32&gt;0,H32/F32,0)</f>
        <v>0</v>
      </c>
      <c r="K32" s="72">
        <f>SUM(K33:K34)</f>
        <v>0.9</v>
      </c>
      <c r="L32" s="87">
        <f t="shared" si="4"/>
        <v>0.22222222222222224</v>
      </c>
      <c r="M32" s="72">
        <f t="shared" si="14"/>
        <v>0</v>
      </c>
      <c r="N32" s="72">
        <f t="shared" si="14"/>
        <v>0.9</v>
      </c>
      <c r="O32" s="87">
        <f t="shared" si="2"/>
        <v>0</v>
      </c>
      <c r="P32" s="72">
        <f t="shared" si="14"/>
        <v>0</v>
      </c>
      <c r="Q32" s="72">
        <f>SUM(Q33:Q34)</f>
        <v>0</v>
      </c>
      <c r="R32" s="72">
        <f t="shared" si="14"/>
        <v>0</v>
      </c>
      <c r="T32" s="26"/>
    </row>
    <row r="33" spans="1:20" ht="18">
      <c r="A33" s="13" t="s">
        <v>8</v>
      </c>
      <c r="B33" s="13">
        <v>1170103003</v>
      </c>
      <c r="C33" s="71"/>
      <c r="D33" s="71"/>
      <c r="E33" s="71">
        <f>C33+D33</f>
        <v>0</v>
      </c>
      <c r="F33" s="71"/>
      <c r="G33" s="71"/>
      <c r="H33" s="68">
        <f>G33+M33</f>
        <v>0</v>
      </c>
      <c r="I33" s="77">
        <f t="shared" si="1"/>
        <v>0</v>
      </c>
      <c r="J33" s="77">
        <f t="shared" si="5"/>
        <v>0</v>
      </c>
      <c r="K33" s="71"/>
      <c r="L33" s="77">
        <f t="shared" si="4"/>
        <v>0</v>
      </c>
      <c r="M33" s="71"/>
      <c r="N33" s="71"/>
      <c r="O33" s="77">
        <f t="shared" si="2"/>
        <v>0</v>
      </c>
      <c r="P33" s="77"/>
      <c r="Q33" s="77"/>
      <c r="R33" s="77"/>
      <c r="T33" s="26"/>
    </row>
    <row r="34" spans="1:20" ht="18">
      <c r="A34" s="13" t="s">
        <v>33</v>
      </c>
      <c r="B34" s="13">
        <v>1170505010</v>
      </c>
      <c r="C34" s="71"/>
      <c r="D34" s="82">
        <v>0.15</v>
      </c>
      <c r="E34" s="71">
        <f>C34+D34</f>
        <v>0.15</v>
      </c>
      <c r="F34" s="71"/>
      <c r="G34" s="71">
        <v>0.2</v>
      </c>
      <c r="H34" s="68">
        <f>G34+M34</f>
        <v>0.2</v>
      </c>
      <c r="I34" s="77">
        <f>IF(E34&gt;0,H34/E34,0)</f>
        <v>1.3333333333333335</v>
      </c>
      <c r="J34" s="77">
        <f>IF(F34&gt;0,H34/F34,0)</f>
        <v>0</v>
      </c>
      <c r="K34" s="71">
        <v>0.9</v>
      </c>
      <c r="L34" s="77">
        <f>IF(K34&gt;0,H34/K34,0)</f>
        <v>0.22222222222222224</v>
      </c>
      <c r="M34" s="71"/>
      <c r="N34" s="71">
        <v>0.9</v>
      </c>
      <c r="O34" s="77">
        <f>IF(N34&gt;0,M34/N34,0)</f>
        <v>0</v>
      </c>
      <c r="P34" s="71"/>
      <c r="Q34" s="71"/>
      <c r="R34" s="71"/>
      <c r="T34" s="26"/>
    </row>
    <row r="35" spans="1:20" ht="18">
      <c r="A35" s="9" t="s">
        <v>6</v>
      </c>
      <c r="B35" s="9">
        <v>1000000000</v>
      </c>
      <c r="C35" s="79">
        <f t="shared" ref="C35:H35" si="15">C5+C24</f>
        <v>2115.1999999999998</v>
      </c>
      <c r="D35" s="78">
        <f t="shared" si="15"/>
        <v>0</v>
      </c>
      <c r="E35" s="78">
        <f t="shared" si="15"/>
        <v>2115.1999999999998</v>
      </c>
      <c r="F35" s="79">
        <f t="shared" si="15"/>
        <v>0</v>
      </c>
      <c r="G35" s="79">
        <f>G5+G24</f>
        <v>1867.4000000000003</v>
      </c>
      <c r="H35" s="79">
        <f t="shared" si="15"/>
        <v>2103.6</v>
      </c>
      <c r="I35" s="91">
        <f t="shared" si="1"/>
        <v>0.99451588502269295</v>
      </c>
      <c r="J35" s="91">
        <f t="shared" si="5"/>
        <v>0</v>
      </c>
      <c r="K35" s="79">
        <f>K5+K24</f>
        <v>2823</v>
      </c>
      <c r="L35" s="91">
        <f t="shared" si="4"/>
        <v>0.74516471838469711</v>
      </c>
      <c r="M35" s="79">
        <f>M5+M24</f>
        <v>236.2</v>
      </c>
      <c r="N35" s="79">
        <f>N5+N24</f>
        <v>365.20000000000005</v>
      </c>
      <c r="O35" s="91">
        <f t="shared" si="2"/>
        <v>0.64676889375684543</v>
      </c>
      <c r="P35" s="79">
        <f>P5+P24</f>
        <v>57.000000000000007</v>
      </c>
      <c r="Q35" s="79">
        <f>Q5+Q24</f>
        <v>40.5</v>
      </c>
      <c r="R35" s="79">
        <f>R5+R24</f>
        <v>53.7</v>
      </c>
      <c r="T35" s="26"/>
    </row>
    <row r="36" spans="1:20" ht="18">
      <c r="A36" s="9" t="s">
        <v>92</v>
      </c>
      <c r="B36" s="9"/>
      <c r="C36" s="79">
        <f t="shared" ref="C36:H36" si="16">C35-C10</f>
        <v>1469.1</v>
      </c>
      <c r="D36" s="78">
        <f t="shared" si="16"/>
        <v>0</v>
      </c>
      <c r="E36" s="78">
        <f t="shared" si="16"/>
        <v>1469.1</v>
      </c>
      <c r="F36" s="79">
        <f t="shared" si="16"/>
        <v>0</v>
      </c>
      <c r="G36" s="79">
        <f>G35-G10</f>
        <v>1183.3000000000002</v>
      </c>
      <c r="H36" s="79">
        <f t="shared" si="16"/>
        <v>1358.1</v>
      </c>
      <c r="I36" s="91">
        <f>IF(E36&gt;0,H36/E36,0)</f>
        <v>0.92444353685930158</v>
      </c>
      <c r="J36" s="91">
        <f>IF(F36&gt;0,H36/F36,0)</f>
        <v>0</v>
      </c>
      <c r="K36" s="79">
        <f>K35-K10</f>
        <v>2198.8000000000002</v>
      </c>
      <c r="L36" s="91">
        <f t="shared" si="4"/>
        <v>0.61765508459159535</v>
      </c>
      <c r="M36" s="79">
        <f>M35-M10</f>
        <v>174.8</v>
      </c>
      <c r="N36" s="79">
        <f>N35-N10</f>
        <v>309.80000000000007</v>
      </c>
      <c r="O36" s="91">
        <f t="shared" si="2"/>
        <v>0.56423499031633306</v>
      </c>
      <c r="P36" s="79"/>
      <c r="Q36" s="79"/>
      <c r="R36" s="79"/>
      <c r="T36" s="174"/>
    </row>
    <row r="37" spans="1:20" ht="18">
      <c r="A37" s="13" t="s">
        <v>25</v>
      </c>
      <c r="B37" s="13">
        <v>2000000000</v>
      </c>
      <c r="C37" s="83">
        <v>5880.4</v>
      </c>
      <c r="D37" s="83">
        <f>50+13.7+12.78+100</f>
        <v>176.48000000000002</v>
      </c>
      <c r="E37" s="83">
        <f>C37+D37</f>
        <v>6056.8799999999992</v>
      </c>
      <c r="F37" s="71"/>
      <c r="G37" s="71">
        <v>5238.1000000000004</v>
      </c>
      <c r="H37" s="68">
        <f>G37+M37</f>
        <v>6056.9000000000005</v>
      </c>
      <c r="I37" s="77">
        <f t="shared" si="1"/>
        <v>1.0000033020300882</v>
      </c>
      <c r="J37" s="77">
        <f t="shared" si="5"/>
        <v>0</v>
      </c>
      <c r="K37" s="71">
        <v>9254</v>
      </c>
      <c r="L37" s="77">
        <f t="shared" si="4"/>
        <v>0.65451696563648154</v>
      </c>
      <c r="M37" s="71">
        <v>818.8</v>
      </c>
      <c r="N37" s="71">
        <v>629.29999999999995</v>
      </c>
      <c r="O37" s="77">
        <f t="shared" si="2"/>
        <v>1.3011282377244557</v>
      </c>
      <c r="P37" s="71"/>
      <c r="Q37" s="71"/>
      <c r="R37" s="71"/>
      <c r="T37" s="26"/>
    </row>
    <row r="38" spans="1:20" ht="18">
      <c r="A38" s="13" t="s">
        <v>46</v>
      </c>
      <c r="B38" s="34" t="s">
        <v>102</v>
      </c>
      <c r="C38" s="71"/>
      <c r="D38" s="82"/>
      <c r="E38" s="71">
        <f>C38+D38</f>
        <v>0</v>
      </c>
      <c r="F38" s="71"/>
      <c r="G38" s="71"/>
      <c r="H38" s="68">
        <f>G38+M38</f>
        <v>0</v>
      </c>
      <c r="I38" s="77">
        <f>IF(E38&gt;0,H38/E38,0)</f>
        <v>0</v>
      </c>
      <c r="J38" s="77">
        <f>IF(F38&gt;0,H38/F38,0)</f>
        <v>0</v>
      </c>
      <c r="K38" s="71">
        <v>82.5</v>
      </c>
      <c r="L38" s="77">
        <f t="shared" si="4"/>
        <v>0</v>
      </c>
      <c r="M38" s="71"/>
      <c r="N38" s="71">
        <v>16</v>
      </c>
      <c r="O38" s="77">
        <f t="shared" si="2"/>
        <v>0</v>
      </c>
      <c r="P38" s="71"/>
      <c r="Q38" s="71"/>
      <c r="R38" s="71"/>
      <c r="T38" s="26"/>
    </row>
    <row r="39" spans="1:20" ht="18">
      <c r="A39" s="9" t="s">
        <v>2</v>
      </c>
      <c r="B39" s="9">
        <v>0</v>
      </c>
      <c r="C39" s="78">
        <f t="shared" ref="C39:H39" si="17">C35+C37+C38</f>
        <v>7995.5999999999995</v>
      </c>
      <c r="D39" s="88">
        <f t="shared" si="17"/>
        <v>176.48000000000002</v>
      </c>
      <c r="E39" s="78">
        <f t="shared" si="17"/>
        <v>8172.079999999999</v>
      </c>
      <c r="F39" s="79">
        <f t="shared" si="17"/>
        <v>0</v>
      </c>
      <c r="G39" s="79">
        <f t="shared" si="17"/>
        <v>7105.5000000000009</v>
      </c>
      <c r="H39" s="79">
        <f t="shared" si="17"/>
        <v>8160.5</v>
      </c>
      <c r="I39" s="91">
        <f t="shared" si="1"/>
        <v>0.99858298009809021</v>
      </c>
      <c r="J39" s="91"/>
      <c r="K39" s="79">
        <f>K35+K37+K38</f>
        <v>12159.5</v>
      </c>
      <c r="L39" s="91">
        <f t="shared" si="4"/>
        <v>0.67112134545005964</v>
      </c>
      <c r="M39" s="79">
        <f>M35+M37+M38</f>
        <v>1055</v>
      </c>
      <c r="N39" s="79">
        <f>N35+N37+N38</f>
        <v>1010.5</v>
      </c>
      <c r="O39" s="91">
        <f t="shared" si="2"/>
        <v>1.0440376051459674</v>
      </c>
      <c r="P39" s="92">
        <f>P35+P37</f>
        <v>57.000000000000007</v>
      </c>
      <c r="Q39" s="79">
        <f>Q35+Q37</f>
        <v>40.5</v>
      </c>
      <c r="R39" s="79">
        <f>R35+R37</f>
        <v>53.7</v>
      </c>
      <c r="T39" s="26"/>
    </row>
    <row r="40" spans="1:20" ht="21.75" customHeight="1">
      <c r="H40" s="27"/>
      <c r="I40" s="27"/>
      <c r="T40" s="26"/>
    </row>
  </sheetData>
  <mergeCells count="15"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  <mergeCell ref="C1:M1"/>
    <mergeCell ref="B2:R2"/>
    <mergeCell ref="G3:G4"/>
    <mergeCell ref="K3:L3"/>
    <mergeCell ref="H3:J3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1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R21" sqref="R21"/>
    </sheetView>
  </sheetViews>
  <sheetFormatPr defaultRowHeight="12.75"/>
  <cols>
    <col min="1" max="1" width="37.85546875" customWidth="1"/>
    <col min="2" max="2" width="15.140625" customWidth="1"/>
    <col min="3" max="3" width="14.28515625" customWidth="1"/>
    <col min="4" max="4" width="13.7109375" customWidth="1"/>
    <col min="5" max="5" width="13.140625" customWidth="1"/>
    <col min="6" max="6" width="0.5703125" hidden="1" customWidth="1"/>
    <col min="7" max="7" width="10.85546875" customWidth="1"/>
    <col min="8" max="8" width="11.42578125" customWidth="1"/>
    <col min="9" max="9" width="12.42578125" customWidth="1"/>
    <col min="10" max="10" width="10.7109375" hidden="1" customWidth="1"/>
    <col min="11" max="11" width="10.85546875" customWidth="1"/>
    <col min="12" max="12" width="13.7109375" customWidth="1"/>
    <col min="13" max="13" width="10.42578125" customWidth="1"/>
    <col min="14" max="14" width="10.7109375" customWidth="1"/>
    <col min="15" max="15" width="13.85546875" customWidth="1"/>
    <col min="16" max="16" width="10.7109375" customWidth="1"/>
    <col min="17" max="17" width="10.140625" customWidth="1"/>
  </cols>
  <sheetData>
    <row r="1" spans="1:18" ht="15.75">
      <c r="A1" s="26"/>
      <c r="B1" s="48"/>
      <c r="C1" s="194" t="s">
        <v>11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49"/>
      <c r="O1" s="49"/>
      <c r="P1" s="26"/>
      <c r="Q1" s="26"/>
      <c r="R1" s="26"/>
    </row>
    <row r="2" spans="1:18" ht="15.75">
      <c r="A2" s="26"/>
      <c r="B2" s="199" t="s">
        <v>133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13.5" customHeight="1">
      <c r="A3" s="189" t="s">
        <v>3</v>
      </c>
      <c r="B3" s="189" t="s">
        <v>4</v>
      </c>
      <c r="C3" s="189" t="s">
        <v>115</v>
      </c>
      <c r="D3" s="189" t="s">
        <v>24</v>
      </c>
      <c r="E3" s="189" t="s">
        <v>116</v>
      </c>
      <c r="F3" s="189" t="s">
        <v>99</v>
      </c>
      <c r="G3" s="189" t="s">
        <v>122</v>
      </c>
      <c r="H3" s="189" t="s">
        <v>117</v>
      </c>
      <c r="I3" s="189"/>
      <c r="J3" s="189"/>
      <c r="K3" s="189" t="s">
        <v>113</v>
      </c>
      <c r="L3" s="189"/>
      <c r="M3" s="189" t="s">
        <v>126</v>
      </c>
      <c r="N3" s="189" t="s">
        <v>127</v>
      </c>
      <c r="O3" s="189" t="s">
        <v>30</v>
      </c>
      <c r="P3" s="189" t="s">
        <v>9</v>
      </c>
      <c r="Q3" s="189"/>
      <c r="R3" s="189"/>
    </row>
    <row r="4" spans="1:18" ht="104.25" customHeight="1">
      <c r="A4" s="198"/>
      <c r="B4" s="198"/>
      <c r="C4" s="189"/>
      <c r="D4" s="189"/>
      <c r="E4" s="189"/>
      <c r="F4" s="189"/>
      <c r="G4" s="189"/>
      <c r="H4" s="185" t="s">
        <v>125</v>
      </c>
      <c r="I4" s="185" t="s">
        <v>10</v>
      </c>
      <c r="J4" s="185" t="s">
        <v>29</v>
      </c>
      <c r="K4" s="185" t="s">
        <v>125</v>
      </c>
      <c r="L4" s="185" t="s">
        <v>30</v>
      </c>
      <c r="M4" s="189"/>
      <c r="N4" s="189"/>
      <c r="O4" s="189"/>
      <c r="P4" s="122" t="s">
        <v>118</v>
      </c>
      <c r="Q4" s="122" t="s">
        <v>123</v>
      </c>
      <c r="R4" s="122" t="s">
        <v>128</v>
      </c>
    </row>
    <row r="5" spans="1:18" ht="20.25" customHeight="1">
      <c r="A5" s="29" t="s">
        <v>21</v>
      </c>
      <c r="B5" s="29"/>
      <c r="C5" s="89">
        <f t="shared" ref="C5:H5" si="0">C6+C15+C17+C22+C23+C10</f>
        <v>1007</v>
      </c>
      <c r="D5" s="89">
        <f t="shared" si="0"/>
        <v>0</v>
      </c>
      <c r="E5" s="89">
        <f t="shared" si="0"/>
        <v>1007</v>
      </c>
      <c r="F5" s="89">
        <f t="shared" si="0"/>
        <v>0</v>
      </c>
      <c r="G5" s="89">
        <f t="shared" si="0"/>
        <v>1012.7</v>
      </c>
      <c r="H5" s="89">
        <f t="shared" si="0"/>
        <v>1109.8</v>
      </c>
      <c r="I5" s="90">
        <f t="shared" ref="I5:I39" si="1">IF(E5&gt;0,H5/E5,0)</f>
        <v>1.1020854021847071</v>
      </c>
      <c r="J5" s="90">
        <f>IF(F5&gt;0,H5/F5,0)</f>
        <v>0</v>
      </c>
      <c r="K5" s="89">
        <f>K6+K15+K17+K22+K23+K10</f>
        <v>938.8</v>
      </c>
      <c r="L5" s="90">
        <f>IF(K5&gt;0,H5/K5,0)</f>
        <v>1.182147422241159</v>
      </c>
      <c r="M5" s="89">
        <f>M6+M15+M17+M22+M23+M10</f>
        <v>97.100000000000009</v>
      </c>
      <c r="N5" s="89">
        <f>N6+N15+N17+N22+N23+N10</f>
        <v>87.2</v>
      </c>
      <c r="O5" s="90">
        <f t="shared" ref="O5:O32" si="2">IF(N5&gt;0,M5/N5,0)</f>
        <v>1.1135321100917432</v>
      </c>
      <c r="P5" s="89">
        <f>P6+P15+P17+P22+P23+P10</f>
        <v>32.099999999999994</v>
      </c>
      <c r="Q5" s="89">
        <f>Q6+Q15+Q17+Q22+Q23+Q10</f>
        <v>22</v>
      </c>
      <c r="R5" s="89">
        <f>R6+R15+R17+R22+R23+R10</f>
        <v>26.2</v>
      </c>
    </row>
    <row r="6" spans="1:18" ht="18">
      <c r="A6" s="9" t="s">
        <v>63</v>
      </c>
      <c r="B6" s="30">
        <v>1010200001</v>
      </c>
      <c r="C6" s="72">
        <f t="shared" ref="C6:H6" si="3">C7+C8+C9</f>
        <v>211.9</v>
      </c>
      <c r="D6" s="72">
        <f t="shared" si="3"/>
        <v>0</v>
      </c>
      <c r="E6" s="72">
        <f t="shared" si="3"/>
        <v>211.9</v>
      </c>
      <c r="F6" s="72">
        <f t="shared" si="3"/>
        <v>0</v>
      </c>
      <c r="G6" s="72">
        <f t="shared" si="3"/>
        <v>178.9</v>
      </c>
      <c r="H6" s="72">
        <f t="shared" si="3"/>
        <v>203.20000000000002</v>
      </c>
      <c r="I6" s="87">
        <f t="shared" si="1"/>
        <v>0.95894289759320439</v>
      </c>
      <c r="J6" s="87">
        <f>IF(F6&gt;0,H6/F6,0)</f>
        <v>0</v>
      </c>
      <c r="K6" s="72">
        <f>K7+K8+K9</f>
        <v>189.1</v>
      </c>
      <c r="L6" s="87">
        <f t="shared" ref="L6:L39" si="4">IF(K6&gt;0,H6/K6,0)</f>
        <v>1.0745637228979377</v>
      </c>
      <c r="M6" s="72">
        <f>M7+M8+M9</f>
        <v>24.3</v>
      </c>
      <c r="N6" s="72">
        <f>N7+N8+N9</f>
        <v>19.3</v>
      </c>
      <c r="O6" s="87">
        <f t="shared" si="2"/>
        <v>1.2590673575129534</v>
      </c>
      <c r="P6" s="72">
        <f>P7+P8+P9</f>
        <v>0</v>
      </c>
      <c r="Q6" s="72">
        <f>Q7+Q8+Q9</f>
        <v>0.5</v>
      </c>
      <c r="R6" s="72">
        <f>R7+R8+R9</f>
        <v>0</v>
      </c>
    </row>
    <row r="7" spans="1:18" ht="18" customHeight="1">
      <c r="A7" s="10" t="s">
        <v>44</v>
      </c>
      <c r="B7" s="13">
        <v>1010201001</v>
      </c>
      <c r="C7" s="71">
        <v>211.9</v>
      </c>
      <c r="D7" s="68"/>
      <c r="E7" s="71">
        <f>C7+D7</f>
        <v>211.9</v>
      </c>
      <c r="F7" s="71"/>
      <c r="G7" s="68">
        <v>178.9</v>
      </c>
      <c r="H7" s="68">
        <f>G7+M7</f>
        <v>203.20000000000002</v>
      </c>
      <c r="I7" s="77">
        <f t="shared" si="1"/>
        <v>0.95894289759320439</v>
      </c>
      <c r="J7" s="77">
        <f t="shared" ref="J7:J37" si="5">IF(F7&gt;0,H7/F7,0)</f>
        <v>0</v>
      </c>
      <c r="K7" s="68">
        <v>189.1</v>
      </c>
      <c r="L7" s="77">
        <f t="shared" si="4"/>
        <v>1.0745637228979377</v>
      </c>
      <c r="M7" s="68">
        <v>24.3</v>
      </c>
      <c r="N7" s="68">
        <v>19.3</v>
      </c>
      <c r="O7" s="77">
        <f t="shared" si="2"/>
        <v>1.2590673575129534</v>
      </c>
      <c r="P7" s="71"/>
      <c r="Q7" s="71">
        <v>0.5</v>
      </c>
      <c r="R7" s="71"/>
    </row>
    <row r="8" spans="1:18" ht="18" customHeight="1">
      <c r="A8" s="10" t="s">
        <v>43</v>
      </c>
      <c r="B8" s="13">
        <v>1010202001</v>
      </c>
      <c r="C8" s="71"/>
      <c r="D8" s="68"/>
      <c r="E8" s="71">
        <f>C8+D8</f>
        <v>0</v>
      </c>
      <c r="F8" s="71"/>
      <c r="G8" s="71"/>
      <c r="H8" s="68">
        <f>G8+M8</f>
        <v>0</v>
      </c>
      <c r="I8" s="77">
        <f t="shared" si="1"/>
        <v>0</v>
      </c>
      <c r="J8" s="77">
        <f t="shared" si="5"/>
        <v>0</v>
      </c>
      <c r="K8" s="71"/>
      <c r="L8" s="77">
        <f>IF(K8&gt;0,H8/K8,0)</f>
        <v>0</v>
      </c>
      <c r="M8" s="71"/>
      <c r="N8" s="71"/>
      <c r="O8" s="77">
        <f>IF(N8&gt;0,M8/N8,0)</f>
        <v>0</v>
      </c>
      <c r="P8" s="71"/>
      <c r="Q8" s="71"/>
      <c r="R8" s="71"/>
    </row>
    <row r="9" spans="1:18" ht="18">
      <c r="A9" s="10" t="s">
        <v>42</v>
      </c>
      <c r="B9" s="13">
        <v>1010203001</v>
      </c>
      <c r="C9" s="71"/>
      <c r="D9" s="71"/>
      <c r="E9" s="71">
        <f>C9+D9</f>
        <v>0</v>
      </c>
      <c r="F9" s="71"/>
      <c r="G9" s="71"/>
      <c r="H9" s="68">
        <f>G9+M9</f>
        <v>0</v>
      </c>
      <c r="I9" s="77">
        <f t="shared" si="1"/>
        <v>0</v>
      </c>
      <c r="J9" s="77">
        <f t="shared" si="5"/>
        <v>0</v>
      </c>
      <c r="K9" s="71"/>
      <c r="L9" s="77">
        <f t="shared" si="4"/>
        <v>0</v>
      </c>
      <c r="M9" s="71"/>
      <c r="N9" s="71"/>
      <c r="O9" s="77">
        <f t="shared" si="2"/>
        <v>0</v>
      </c>
      <c r="P9" s="71"/>
      <c r="Q9" s="71"/>
      <c r="R9" s="71"/>
    </row>
    <row r="10" spans="1:18" ht="30.75" customHeight="1">
      <c r="A10" s="11" t="s">
        <v>48</v>
      </c>
      <c r="B10" s="19">
        <v>1030200001</v>
      </c>
      <c r="C10" s="72">
        <f t="shared" ref="C10:H10" si="6">SUM(C11:C14)</f>
        <v>724.1</v>
      </c>
      <c r="D10" s="72">
        <f t="shared" si="6"/>
        <v>0</v>
      </c>
      <c r="E10" s="72">
        <f t="shared" si="6"/>
        <v>724.1</v>
      </c>
      <c r="F10" s="72">
        <f t="shared" si="6"/>
        <v>0</v>
      </c>
      <c r="G10" s="72">
        <f>SUM(G11:G14)</f>
        <v>768.6</v>
      </c>
      <c r="H10" s="72">
        <f t="shared" si="6"/>
        <v>837.4</v>
      </c>
      <c r="I10" s="66">
        <f t="shared" si="1"/>
        <v>1.1564701008148046</v>
      </c>
      <c r="J10" s="66">
        <f>IF(F10&gt;0,H10/F10,0)</f>
        <v>0</v>
      </c>
      <c r="K10" s="72">
        <f>SUM(K11:K14)</f>
        <v>701.3</v>
      </c>
      <c r="L10" s="66">
        <f t="shared" si="4"/>
        <v>1.1940681591330387</v>
      </c>
      <c r="M10" s="72">
        <f>SUM(M11:M14)</f>
        <v>68.800000000000011</v>
      </c>
      <c r="N10" s="72">
        <f>SUM(N11:N14)</f>
        <v>62.4</v>
      </c>
      <c r="O10" s="66">
        <f t="shared" si="2"/>
        <v>1.1025641025641029</v>
      </c>
      <c r="P10" s="72">
        <f>SUM(P11:P14)</f>
        <v>0</v>
      </c>
      <c r="Q10" s="72">
        <f>SUM(Q11:Q14)</f>
        <v>0</v>
      </c>
      <c r="R10" s="72">
        <f>SUM(R11:R14)</f>
        <v>0</v>
      </c>
    </row>
    <row r="11" spans="1:18" ht="18.75" customHeight="1">
      <c r="A11" s="12" t="s">
        <v>49</v>
      </c>
      <c r="B11" s="12">
        <v>1030223101</v>
      </c>
      <c r="C11" s="71">
        <v>327.39999999999998</v>
      </c>
      <c r="D11" s="71"/>
      <c r="E11" s="67">
        <f>C11+D11</f>
        <v>327.39999999999998</v>
      </c>
      <c r="F11" s="67"/>
      <c r="G11" s="71">
        <v>384</v>
      </c>
      <c r="H11" s="69">
        <f>G11+M11</f>
        <v>419.8</v>
      </c>
      <c r="I11" s="70">
        <f t="shared" si="1"/>
        <v>1.2822235797189983</v>
      </c>
      <c r="J11" s="70">
        <f>IF(F11&gt;0,H11/F11,0)</f>
        <v>0</v>
      </c>
      <c r="K11" s="71">
        <v>323.7</v>
      </c>
      <c r="L11" s="70">
        <f t="shared" si="4"/>
        <v>1.296879827000309</v>
      </c>
      <c r="M11" s="71">
        <v>35.799999999999997</v>
      </c>
      <c r="N11" s="71">
        <v>31</v>
      </c>
      <c r="O11" s="70">
        <f t="shared" si="2"/>
        <v>1.1548387096774193</v>
      </c>
      <c r="P11" s="71"/>
      <c r="Q11" s="71"/>
      <c r="R11" s="71"/>
    </row>
    <row r="12" spans="1:18" ht="18.75" customHeight="1">
      <c r="A12" s="12" t="s">
        <v>50</v>
      </c>
      <c r="B12" s="12">
        <v>1030224101</v>
      </c>
      <c r="C12" s="71">
        <v>1.8</v>
      </c>
      <c r="D12" s="71"/>
      <c r="E12" s="67">
        <f>C12+D12</f>
        <v>1.8</v>
      </c>
      <c r="F12" s="67"/>
      <c r="G12" s="71">
        <v>2.1</v>
      </c>
      <c r="H12" s="69">
        <f>G12+M12</f>
        <v>2.2000000000000002</v>
      </c>
      <c r="I12" s="70">
        <f t="shared" si="1"/>
        <v>1.2222222222222223</v>
      </c>
      <c r="J12" s="70">
        <f>IF(F12&gt;0,H12/F12,0)</f>
        <v>0</v>
      </c>
      <c r="K12" s="71">
        <v>2.2999999999999998</v>
      </c>
      <c r="L12" s="70">
        <f t="shared" si="4"/>
        <v>0.95652173913043492</v>
      </c>
      <c r="M12" s="71">
        <v>0.1</v>
      </c>
      <c r="N12" s="71">
        <v>0.2</v>
      </c>
      <c r="O12" s="70">
        <f t="shared" si="2"/>
        <v>0.5</v>
      </c>
      <c r="P12" s="71"/>
      <c r="Q12" s="71"/>
      <c r="R12" s="71"/>
    </row>
    <row r="13" spans="1:18" ht="18" customHeight="1">
      <c r="A13" s="12" t="s">
        <v>51</v>
      </c>
      <c r="B13" s="12">
        <v>1030225101</v>
      </c>
      <c r="C13" s="71">
        <v>436</v>
      </c>
      <c r="D13" s="71"/>
      <c r="E13" s="67">
        <f>C13+D13</f>
        <v>436</v>
      </c>
      <c r="F13" s="67"/>
      <c r="G13" s="71">
        <v>427.5</v>
      </c>
      <c r="H13" s="69">
        <f>G13+M13</f>
        <v>463.5</v>
      </c>
      <c r="I13" s="70">
        <f t="shared" si="1"/>
        <v>1.0630733944954129</v>
      </c>
      <c r="J13" s="70">
        <f>IF(F13&gt;0,H13/F13,0)</f>
        <v>0</v>
      </c>
      <c r="K13" s="71">
        <v>430.5</v>
      </c>
      <c r="L13" s="70">
        <f t="shared" si="4"/>
        <v>1.0766550522648084</v>
      </c>
      <c r="M13" s="71">
        <v>36</v>
      </c>
      <c r="N13" s="71">
        <v>36.799999999999997</v>
      </c>
      <c r="O13" s="70">
        <f t="shared" si="2"/>
        <v>0.97826086956521752</v>
      </c>
      <c r="P13" s="71"/>
      <c r="Q13" s="71"/>
      <c r="R13" s="71"/>
    </row>
    <row r="14" spans="1:18" ht="18" customHeight="1">
      <c r="A14" s="12" t="s">
        <v>52</v>
      </c>
      <c r="B14" s="12">
        <v>1030226101</v>
      </c>
      <c r="C14" s="71">
        <v>-41.1</v>
      </c>
      <c r="D14" s="71"/>
      <c r="E14" s="67">
        <f>C14+D14</f>
        <v>-41.1</v>
      </c>
      <c r="F14" s="67"/>
      <c r="G14" s="71">
        <v>-45</v>
      </c>
      <c r="H14" s="69">
        <f>G14+M14</f>
        <v>-48.1</v>
      </c>
      <c r="I14" s="70">
        <f>H14/E14</f>
        <v>1.170316301703163</v>
      </c>
      <c r="J14" s="70">
        <f>IF(F14&gt;0,H14/F14,0)</f>
        <v>0</v>
      </c>
      <c r="K14" s="71">
        <v>-55.2</v>
      </c>
      <c r="L14" s="70">
        <f t="shared" si="4"/>
        <v>0</v>
      </c>
      <c r="M14" s="71">
        <v>-3.1</v>
      </c>
      <c r="N14" s="71">
        <v>-5.6</v>
      </c>
      <c r="O14" s="70">
        <f t="shared" si="2"/>
        <v>0</v>
      </c>
      <c r="P14" s="71"/>
      <c r="Q14" s="71"/>
      <c r="R14" s="71"/>
    </row>
    <row r="15" spans="1:18" ht="18">
      <c r="A15" s="9" t="s">
        <v>70</v>
      </c>
      <c r="B15" s="30">
        <v>1050000000</v>
      </c>
      <c r="C15" s="72">
        <f t="shared" ref="C15:H15" si="7">C16</f>
        <v>3</v>
      </c>
      <c r="D15" s="73">
        <f t="shared" si="7"/>
        <v>0</v>
      </c>
      <c r="E15" s="73">
        <f t="shared" si="7"/>
        <v>3</v>
      </c>
      <c r="F15" s="73">
        <f t="shared" si="7"/>
        <v>0</v>
      </c>
      <c r="G15" s="72">
        <f>G16</f>
        <v>1.6</v>
      </c>
      <c r="H15" s="73">
        <f t="shared" si="7"/>
        <v>1.6</v>
      </c>
      <c r="I15" s="87">
        <f t="shared" si="1"/>
        <v>0.53333333333333333</v>
      </c>
      <c r="J15" s="87">
        <f t="shared" si="5"/>
        <v>0</v>
      </c>
      <c r="K15" s="72">
        <f>K16</f>
        <v>2.8</v>
      </c>
      <c r="L15" s="87">
        <f t="shared" si="4"/>
        <v>0.57142857142857151</v>
      </c>
      <c r="M15" s="72">
        <f>M16</f>
        <v>0</v>
      </c>
      <c r="N15" s="72">
        <f>N16</f>
        <v>0</v>
      </c>
      <c r="O15" s="87">
        <f t="shared" si="2"/>
        <v>0</v>
      </c>
      <c r="P15" s="72">
        <f>P16</f>
        <v>0</v>
      </c>
      <c r="Q15" s="72">
        <f>Q16</f>
        <v>0</v>
      </c>
      <c r="R15" s="72">
        <f>R16</f>
        <v>0</v>
      </c>
    </row>
    <row r="16" spans="1:18" ht="18">
      <c r="A16" s="13" t="s">
        <v>7</v>
      </c>
      <c r="B16" s="13">
        <v>1050300001</v>
      </c>
      <c r="C16" s="71">
        <v>3</v>
      </c>
      <c r="D16" s="68"/>
      <c r="E16" s="71">
        <f>C16+D16</f>
        <v>3</v>
      </c>
      <c r="F16" s="71"/>
      <c r="G16" s="71">
        <v>1.6</v>
      </c>
      <c r="H16" s="68">
        <f>G16+M16</f>
        <v>1.6</v>
      </c>
      <c r="I16" s="77">
        <f t="shared" si="1"/>
        <v>0.53333333333333333</v>
      </c>
      <c r="J16" s="77">
        <f t="shared" si="5"/>
        <v>0</v>
      </c>
      <c r="K16" s="71">
        <v>2.8</v>
      </c>
      <c r="L16" s="77">
        <f t="shared" si="4"/>
        <v>0.57142857142857151</v>
      </c>
      <c r="M16" s="71"/>
      <c r="N16" s="71"/>
      <c r="O16" s="77">
        <f t="shared" si="2"/>
        <v>0</v>
      </c>
      <c r="P16" s="71"/>
      <c r="Q16" s="71"/>
      <c r="R16" s="71"/>
    </row>
    <row r="17" spans="1:20" ht="18">
      <c r="A17" s="9" t="s">
        <v>71</v>
      </c>
      <c r="B17" s="30">
        <v>1060000000</v>
      </c>
      <c r="C17" s="72">
        <f t="shared" ref="C17:H17" si="8">C18+C21</f>
        <v>65</v>
      </c>
      <c r="D17" s="73">
        <f t="shared" si="8"/>
        <v>0</v>
      </c>
      <c r="E17" s="73">
        <f t="shared" si="8"/>
        <v>65</v>
      </c>
      <c r="F17" s="73">
        <f t="shared" si="8"/>
        <v>0</v>
      </c>
      <c r="G17" s="72">
        <f>G18+G21</f>
        <v>62.400000000000006</v>
      </c>
      <c r="H17" s="73">
        <f t="shared" si="8"/>
        <v>66.400000000000006</v>
      </c>
      <c r="I17" s="87">
        <f t="shared" si="1"/>
        <v>1.0215384615384617</v>
      </c>
      <c r="J17" s="87">
        <f t="shared" si="5"/>
        <v>0</v>
      </c>
      <c r="K17" s="72">
        <f>K18+K21</f>
        <v>44.100000000000009</v>
      </c>
      <c r="L17" s="87">
        <f t="shared" si="4"/>
        <v>1.5056689342403626</v>
      </c>
      <c r="M17" s="72">
        <f>M18+M21</f>
        <v>4</v>
      </c>
      <c r="N17" s="72">
        <f>N18+N21</f>
        <v>5.5</v>
      </c>
      <c r="O17" s="87">
        <f t="shared" si="2"/>
        <v>0.72727272727272729</v>
      </c>
      <c r="P17" s="72">
        <f>P18+P21</f>
        <v>32.099999999999994</v>
      </c>
      <c r="Q17" s="72">
        <f>Q18+Q21</f>
        <v>21.5</v>
      </c>
      <c r="R17" s="72">
        <f>R18+R21</f>
        <v>26.2</v>
      </c>
    </row>
    <row r="18" spans="1:20" ht="18">
      <c r="A18" s="13" t="s">
        <v>13</v>
      </c>
      <c r="B18" s="13">
        <v>1060600000</v>
      </c>
      <c r="C18" s="71">
        <f t="shared" ref="C18:H18" si="9">C19+C20</f>
        <v>56</v>
      </c>
      <c r="D18" s="68">
        <f t="shared" si="9"/>
        <v>0</v>
      </c>
      <c r="E18" s="68">
        <f t="shared" si="9"/>
        <v>56</v>
      </c>
      <c r="F18" s="68">
        <f t="shared" si="9"/>
        <v>0</v>
      </c>
      <c r="G18" s="71">
        <f>G19+G20</f>
        <v>54.1</v>
      </c>
      <c r="H18" s="68">
        <f t="shared" si="9"/>
        <v>57.900000000000006</v>
      </c>
      <c r="I18" s="77">
        <f t="shared" si="1"/>
        <v>1.0339285714285715</v>
      </c>
      <c r="J18" s="77">
        <f t="shared" si="5"/>
        <v>0</v>
      </c>
      <c r="K18" s="71">
        <f>K19+K20</f>
        <v>42.900000000000006</v>
      </c>
      <c r="L18" s="77">
        <f t="shared" si="4"/>
        <v>1.3496503496503496</v>
      </c>
      <c r="M18" s="71">
        <f>M19+M20</f>
        <v>3.8</v>
      </c>
      <c r="N18" s="71">
        <f>N19+N20</f>
        <v>3.8000000000000003</v>
      </c>
      <c r="O18" s="77">
        <f t="shared" si="2"/>
        <v>0.99999999999999989</v>
      </c>
      <c r="P18" s="71">
        <f>P19+P20</f>
        <v>17.399999999999999</v>
      </c>
      <c r="Q18" s="71">
        <f>Q19+Q20</f>
        <v>10.4</v>
      </c>
      <c r="R18" s="71">
        <f>R19+R20</f>
        <v>13</v>
      </c>
    </row>
    <row r="19" spans="1:20" ht="18">
      <c r="A19" s="13" t="s">
        <v>100</v>
      </c>
      <c r="B19" s="13">
        <v>1060603310</v>
      </c>
      <c r="C19" s="71">
        <v>28</v>
      </c>
      <c r="D19" s="68"/>
      <c r="E19" s="71">
        <f>C19+D19</f>
        <v>28</v>
      </c>
      <c r="F19" s="71"/>
      <c r="G19" s="71">
        <v>32.700000000000003</v>
      </c>
      <c r="H19" s="68">
        <f>G19+M19</f>
        <v>34.200000000000003</v>
      </c>
      <c r="I19" s="77">
        <f t="shared" si="1"/>
        <v>1.2214285714285715</v>
      </c>
      <c r="J19" s="77">
        <f t="shared" si="5"/>
        <v>0</v>
      </c>
      <c r="K19" s="71">
        <v>14.3</v>
      </c>
      <c r="L19" s="77">
        <f t="shared" si="4"/>
        <v>2.3916083916083917</v>
      </c>
      <c r="M19" s="71">
        <v>1.5</v>
      </c>
      <c r="N19" s="71">
        <v>0.1</v>
      </c>
      <c r="O19" s="77">
        <f t="shared" si="2"/>
        <v>15</v>
      </c>
      <c r="P19" s="71"/>
      <c r="Q19" s="71"/>
      <c r="R19" s="71"/>
    </row>
    <row r="20" spans="1:20" ht="18">
      <c r="A20" s="13" t="s">
        <v>101</v>
      </c>
      <c r="B20" s="13">
        <v>1060604310</v>
      </c>
      <c r="C20" s="71">
        <v>28</v>
      </c>
      <c r="D20" s="68"/>
      <c r="E20" s="71">
        <f>C20+D20</f>
        <v>28</v>
      </c>
      <c r="F20" s="71"/>
      <c r="G20" s="71">
        <v>21.4</v>
      </c>
      <c r="H20" s="68">
        <f>G20+M20</f>
        <v>23.7</v>
      </c>
      <c r="I20" s="77">
        <f t="shared" si="1"/>
        <v>0.84642857142857142</v>
      </c>
      <c r="J20" s="77">
        <f t="shared" si="5"/>
        <v>0</v>
      </c>
      <c r="K20" s="71">
        <v>28.6</v>
      </c>
      <c r="L20" s="77">
        <f t="shared" si="4"/>
        <v>0.82867132867132864</v>
      </c>
      <c r="M20" s="71">
        <v>2.2999999999999998</v>
      </c>
      <c r="N20" s="71">
        <v>3.7</v>
      </c>
      <c r="O20" s="77">
        <f t="shared" si="2"/>
        <v>0.62162162162162149</v>
      </c>
      <c r="P20" s="71">
        <v>17.399999999999999</v>
      </c>
      <c r="Q20" s="71">
        <v>10.4</v>
      </c>
      <c r="R20" s="71">
        <v>13</v>
      </c>
    </row>
    <row r="21" spans="1:20" ht="18">
      <c r="A21" s="13" t="s">
        <v>12</v>
      </c>
      <c r="B21" s="13">
        <v>1060103010</v>
      </c>
      <c r="C21" s="71">
        <v>9</v>
      </c>
      <c r="D21" s="68"/>
      <c r="E21" s="71">
        <f>C21+D21</f>
        <v>9</v>
      </c>
      <c r="F21" s="71"/>
      <c r="G21" s="71">
        <v>8.3000000000000007</v>
      </c>
      <c r="H21" s="68">
        <f>G21+M21</f>
        <v>8.5</v>
      </c>
      <c r="I21" s="77">
        <f t="shared" si="1"/>
        <v>0.94444444444444442</v>
      </c>
      <c r="J21" s="77">
        <f t="shared" si="5"/>
        <v>0</v>
      </c>
      <c r="K21" s="71">
        <v>1.2</v>
      </c>
      <c r="L21" s="77">
        <f t="shared" si="4"/>
        <v>7.0833333333333339</v>
      </c>
      <c r="M21" s="71">
        <v>0.2</v>
      </c>
      <c r="N21" s="71">
        <v>1.7</v>
      </c>
      <c r="O21" s="77">
        <f t="shared" si="2"/>
        <v>0.11764705882352942</v>
      </c>
      <c r="P21" s="71">
        <v>14.7</v>
      </c>
      <c r="Q21" s="71">
        <v>11.1</v>
      </c>
      <c r="R21" s="71">
        <v>13.2</v>
      </c>
      <c r="S21" s="129"/>
      <c r="T21" s="158"/>
    </row>
    <row r="22" spans="1:20" ht="18">
      <c r="A22" s="9" t="s">
        <v>72</v>
      </c>
      <c r="B22" s="30">
        <v>1080402001</v>
      </c>
      <c r="C22" s="72">
        <v>3</v>
      </c>
      <c r="D22" s="73"/>
      <c r="E22" s="72">
        <f>C22+D22</f>
        <v>3</v>
      </c>
      <c r="F22" s="72"/>
      <c r="G22" s="72">
        <v>1.2</v>
      </c>
      <c r="H22" s="73">
        <f>G22+M22</f>
        <v>1.2</v>
      </c>
      <c r="I22" s="87">
        <f t="shared" si="1"/>
        <v>0.39999999999999997</v>
      </c>
      <c r="J22" s="87">
        <f t="shared" si="5"/>
        <v>0</v>
      </c>
      <c r="K22" s="72">
        <v>1.5</v>
      </c>
      <c r="L22" s="87">
        <f t="shared" si="4"/>
        <v>0.79999999999999993</v>
      </c>
      <c r="M22" s="72"/>
      <c r="N22" s="72"/>
      <c r="O22" s="87">
        <f t="shared" si="2"/>
        <v>0</v>
      </c>
      <c r="P22" s="72"/>
      <c r="Q22" s="72"/>
      <c r="R22" s="72"/>
    </row>
    <row r="23" spans="1:20" ht="18" hidden="1">
      <c r="A23" s="9" t="s">
        <v>73</v>
      </c>
      <c r="B23" s="30">
        <v>1090405010</v>
      </c>
      <c r="C23" s="72"/>
      <c r="D23" s="72"/>
      <c r="E23" s="72">
        <f>C23+D23</f>
        <v>0</v>
      </c>
      <c r="F23" s="72"/>
      <c r="G23" s="72"/>
      <c r="H23" s="73">
        <f>G23+M23</f>
        <v>0</v>
      </c>
      <c r="I23" s="87">
        <f t="shared" si="1"/>
        <v>0</v>
      </c>
      <c r="J23" s="87">
        <f t="shared" si="5"/>
        <v>0</v>
      </c>
      <c r="K23" s="72"/>
      <c r="L23" s="87">
        <f t="shared" si="4"/>
        <v>0</v>
      </c>
      <c r="M23" s="72"/>
      <c r="N23" s="72"/>
      <c r="O23" s="87">
        <f t="shared" si="2"/>
        <v>0</v>
      </c>
      <c r="P23" s="72"/>
      <c r="Q23" s="72"/>
      <c r="R23" s="72"/>
    </row>
    <row r="24" spans="1:20" ht="18">
      <c r="A24" s="32" t="s">
        <v>22</v>
      </c>
      <c r="B24" s="32"/>
      <c r="C24" s="76">
        <f t="shared" ref="C24:H24" si="10">C25+C28+C32+C31+C30+C29</f>
        <v>120</v>
      </c>
      <c r="D24" s="76">
        <f t="shared" si="10"/>
        <v>449.70000000000005</v>
      </c>
      <c r="E24" s="76">
        <f t="shared" si="10"/>
        <v>569.70000000000005</v>
      </c>
      <c r="F24" s="76">
        <f t="shared" si="10"/>
        <v>0</v>
      </c>
      <c r="G24" s="76">
        <f>G25+G28+G32+G31+G30+G29</f>
        <v>378.6</v>
      </c>
      <c r="H24" s="76">
        <f t="shared" si="10"/>
        <v>469.3</v>
      </c>
      <c r="I24" s="90">
        <f t="shared" si="1"/>
        <v>0.82376689485694221</v>
      </c>
      <c r="J24" s="90">
        <f t="shared" si="5"/>
        <v>0</v>
      </c>
      <c r="K24" s="76">
        <f>K25+K28+K32+K31+K30+K29</f>
        <v>439.1</v>
      </c>
      <c r="L24" s="90">
        <f t="shared" si="4"/>
        <v>1.0687770439535413</v>
      </c>
      <c r="M24" s="76">
        <f>M25+M28+M32+M31+M30+M29</f>
        <v>90.7</v>
      </c>
      <c r="N24" s="76">
        <f>N25+N28+N32+N31+N30+N29</f>
        <v>70.599999999999994</v>
      </c>
      <c r="O24" s="90">
        <f t="shared" si="2"/>
        <v>1.284702549575071</v>
      </c>
      <c r="P24" s="76">
        <f>P25+P28+P32+P31+P30</f>
        <v>0</v>
      </c>
      <c r="Q24" s="76">
        <f>Q25+Q28+Q32+Q31+Q30</f>
        <v>0</v>
      </c>
      <c r="R24" s="76">
        <f>R25+R28+R32+R31+R30</f>
        <v>0</v>
      </c>
    </row>
    <row r="25" spans="1:20" ht="17.25" customHeight="1">
      <c r="A25" s="9" t="s">
        <v>74</v>
      </c>
      <c r="B25" s="30">
        <v>1110000000</v>
      </c>
      <c r="C25" s="72">
        <f t="shared" ref="C25:H25" si="11">C26+C27</f>
        <v>70</v>
      </c>
      <c r="D25" s="72">
        <f t="shared" si="11"/>
        <v>0</v>
      </c>
      <c r="E25" s="72">
        <f t="shared" si="11"/>
        <v>70</v>
      </c>
      <c r="F25" s="72">
        <f t="shared" si="11"/>
        <v>0</v>
      </c>
      <c r="G25" s="72">
        <f>G26+G27</f>
        <v>60.5</v>
      </c>
      <c r="H25" s="72">
        <f t="shared" si="11"/>
        <v>69.8</v>
      </c>
      <c r="I25" s="87">
        <f t="shared" si="1"/>
        <v>0.99714285714285711</v>
      </c>
      <c r="J25" s="87">
        <f t="shared" si="5"/>
        <v>0</v>
      </c>
      <c r="K25" s="72">
        <f>K26+K27</f>
        <v>78.7</v>
      </c>
      <c r="L25" s="87">
        <f t="shared" si="4"/>
        <v>0.8869123252858957</v>
      </c>
      <c r="M25" s="72">
        <f>M26+M27</f>
        <v>9.3000000000000007</v>
      </c>
      <c r="N25" s="72">
        <f>N26+N27</f>
        <v>9.1999999999999993</v>
      </c>
      <c r="O25" s="87">
        <f t="shared" si="2"/>
        <v>1.0108695652173914</v>
      </c>
      <c r="P25" s="72">
        <f>P26+P27</f>
        <v>0</v>
      </c>
      <c r="Q25" s="72">
        <f>Q26+Q27</f>
        <v>0</v>
      </c>
      <c r="R25" s="72">
        <f>R26+R27</f>
        <v>0</v>
      </c>
    </row>
    <row r="26" spans="1:20" ht="18.75" hidden="1" customHeight="1">
      <c r="A26" s="13" t="s">
        <v>18</v>
      </c>
      <c r="B26" s="13">
        <v>1110903510</v>
      </c>
      <c r="C26" s="71"/>
      <c r="D26" s="68"/>
      <c r="E26" s="71">
        <f t="shared" ref="E26:E31" si="12">C26+D26</f>
        <v>0</v>
      </c>
      <c r="F26" s="71"/>
      <c r="G26" s="71"/>
      <c r="H26" s="68">
        <f t="shared" ref="H26:H31" si="13">G26+M26</f>
        <v>0</v>
      </c>
      <c r="I26" s="77">
        <f t="shared" si="1"/>
        <v>0</v>
      </c>
      <c r="J26" s="77">
        <f t="shared" si="5"/>
        <v>0</v>
      </c>
      <c r="K26" s="71"/>
      <c r="L26" s="77">
        <f t="shared" si="4"/>
        <v>0</v>
      </c>
      <c r="M26" s="71"/>
      <c r="N26" s="71"/>
      <c r="O26" s="77">
        <f t="shared" si="2"/>
        <v>0</v>
      </c>
      <c r="P26" s="71"/>
      <c r="Q26" s="71"/>
      <c r="R26" s="71"/>
    </row>
    <row r="27" spans="1:20" ht="18">
      <c r="A27" s="33" t="s">
        <v>23</v>
      </c>
      <c r="B27" s="13">
        <v>1110904510</v>
      </c>
      <c r="C27" s="71">
        <v>70</v>
      </c>
      <c r="D27" s="68"/>
      <c r="E27" s="71">
        <f t="shared" si="12"/>
        <v>70</v>
      </c>
      <c r="F27" s="71"/>
      <c r="G27" s="71">
        <v>60.5</v>
      </c>
      <c r="H27" s="68">
        <f t="shared" si="13"/>
        <v>69.8</v>
      </c>
      <c r="I27" s="77">
        <f t="shared" si="1"/>
        <v>0.99714285714285711</v>
      </c>
      <c r="J27" s="77">
        <f t="shared" si="5"/>
        <v>0</v>
      </c>
      <c r="K27" s="71">
        <v>78.7</v>
      </c>
      <c r="L27" s="77">
        <f t="shared" si="4"/>
        <v>0.8869123252858957</v>
      </c>
      <c r="M27" s="71">
        <v>9.3000000000000007</v>
      </c>
      <c r="N27" s="71">
        <v>9.1999999999999993</v>
      </c>
      <c r="O27" s="77">
        <f t="shared" si="2"/>
        <v>1.0108695652173914</v>
      </c>
      <c r="P27" s="71"/>
      <c r="Q27" s="71"/>
      <c r="R27" s="71"/>
    </row>
    <row r="28" spans="1:20" ht="18">
      <c r="A28" s="9" t="s">
        <v>38</v>
      </c>
      <c r="B28" s="30">
        <v>1130299510</v>
      </c>
      <c r="C28" s="72">
        <v>50</v>
      </c>
      <c r="D28" s="72">
        <f>200.3+13.5+23+231-18.9</f>
        <v>448.90000000000003</v>
      </c>
      <c r="E28" s="126">
        <f t="shared" si="12"/>
        <v>498.90000000000003</v>
      </c>
      <c r="F28" s="72"/>
      <c r="G28" s="72">
        <v>317.5</v>
      </c>
      <c r="H28" s="73">
        <f t="shared" si="13"/>
        <v>398.7</v>
      </c>
      <c r="I28" s="87">
        <f t="shared" si="1"/>
        <v>0.79915814792543594</v>
      </c>
      <c r="J28" s="87">
        <f t="shared" si="5"/>
        <v>0</v>
      </c>
      <c r="K28" s="72">
        <v>359.6</v>
      </c>
      <c r="L28" s="87">
        <f t="shared" si="4"/>
        <v>1.1087319243604004</v>
      </c>
      <c r="M28" s="72">
        <v>81.2</v>
      </c>
      <c r="N28" s="72">
        <v>61.3</v>
      </c>
      <c r="O28" s="87">
        <f t="shared" si="2"/>
        <v>1.3246329526916805</v>
      </c>
      <c r="P28" s="72"/>
      <c r="Q28" s="72"/>
      <c r="R28" s="72"/>
    </row>
    <row r="29" spans="1:20" ht="18">
      <c r="A29" s="9" t="s">
        <v>75</v>
      </c>
      <c r="B29" s="30">
        <v>1140205310</v>
      </c>
      <c r="C29" s="72"/>
      <c r="D29" s="72"/>
      <c r="E29" s="72">
        <f t="shared" si="12"/>
        <v>0</v>
      </c>
      <c r="F29" s="72"/>
      <c r="G29" s="72"/>
      <c r="H29" s="73">
        <f t="shared" si="13"/>
        <v>0</v>
      </c>
      <c r="I29" s="87">
        <f>IF(E29&gt;0,H29/E29,0)</f>
        <v>0</v>
      </c>
      <c r="J29" s="87">
        <f>IF(F29&gt;0,H29/F29,0)</f>
        <v>0</v>
      </c>
      <c r="K29" s="72"/>
      <c r="L29" s="87">
        <f t="shared" si="4"/>
        <v>0</v>
      </c>
      <c r="M29" s="72"/>
      <c r="N29" s="72"/>
      <c r="O29" s="87">
        <f t="shared" si="2"/>
        <v>0</v>
      </c>
      <c r="P29" s="72"/>
      <c r="Q29" s="72"/>
      <c r="R29" s="72"/>
    </row>
    <row r="30" spans="1:20" ht="18">
      <c r="A30" s="9" t="s">
        <v>76</v>
      </c>
      <c r="B30" s="30">
        <v>1140601410</v>
      </c>
      <c r="C30" s="72"/>
      <c r="D30" s="72"/>
      <c r="E30" s="72">
        <f t="shared" si="12"/>
        <v>0</v>
      </c>
      <c r="F30" s="72"/>
      <c r="G30" s="72"/>
      <c r="H30" s="73">
        <f t="shared" si="13"/>
        <v>0</v>
      </c>
      <c r="I30" s="87">
        <f>IF(E30&gt;0,H30/E30,0)</f>
        <v>0</v>
      </c>
      <c r="J30" s="87">
        <f>IF(F30&gt;0,H30/F30,0)</f>
        <v>0</v>
      </c>
      <c r="K30" s="72"/>
      <c r="L30" s="87">
        <f t="shared" si="4"/>
        <v>0</v>
      </c>
      <c r="M30" s="72"/>
      <c r="N30" s="72"/>
      <c r="O30" s="87">
        <f t="shared" si="2"/>
        <v>0</v>
      </c>
      <c r="P30" s="72"/>
      <c r="Q30" s="72"/>
      <c r="R30" s="72"/>
    </row>
    <row r="31" spans="1:20" ht="18">
      <c r="A31" s="9" t="s">
        <v>79</v>
      </c>
      <c r="B31" s="30">
        <v>1169005010</v>
      </c>
      <c r="C31" s="72"/>
      <c r="D31" s="72"/>
      <c r="E31" s="72">
        <f t="shared" si="12"/>
        <v>0</v>
      </c>
      <c r="F31" s="72"/>
      <c r="G31" s="72"/>
      <c r="H31" s="73">
        <f t="shared" si="13"/>
        <v>0</v>
      </c>
      <c r="I31" s="87">
        <f>IF(E31&gt;0,H31/E31,0)</f>
        <v>0</v>
      </c>
      <c r="J31" s="87">
        <f>IF(F31&gt;0,H31/F31,0)</f>
        <v>0</v>
      </c>
      <c r="K31" s="72"/>
      <c r="L31" s="87">
        <f t="shared" si="4"/>
        <v>0</v>
      </c>
      <c r="M31" s="72"/>
      <c r="N31" s="72"/>
      <c r="O31" s="87">
        <f t="shared" si="2"/>
        <v>0</v>
      </c>
      <c r="P31" s="72"/>
      <c r="Q31" s="72"/>
      <c r="R31" s="72"/>
    </row>
    <row r="32" spans="1:20" ht="18">
      <c r="A32" s="9" t="s">
        <v>69</v>
      </c>
      <c r="B32" s="30">
        <v>1170000000</v>
      </c>
      <c r="C32" s="72">
        <f>SUM(C33:C34)</f>
        <v>0</v>
      </c>
      <c r="D32" s="72">
        <f t="shared" ref="D32:R32" si="14">SUM(D33:D34)</f>
        <v>0.8</v>
      </c>
      <c r="E32" s="72">
        <f t="shared" si="14"/>
        <v>0.8</v>
      </c>
      <c r="F32" s="72">
        <f t="shared" si="14"/>
        <v>0</v>
      </c>
      <c r="G32" s="72">
        <f t="shared" si="14"/>
        <v>0.6</v>
      </c>
      <c r="H32" s="72">
        <f t="shared" si="14"/>
        <v>0.8</v>
      </c>
      <c r="I32" s="87">
        <f>IF(E32&gt;0,H32/E32,0)</f>
        <v>1</v>
      </c>
      <c r="J32" s="87">
        <f>IF(F32&gt;0,H32/F32,0)</f>
        <v>0</v>
      </c>
      <c r="K32" s="72">
        <f>SUM(K33:K34)</f>
        <v>0.8</v>
      </c>
      <c r="L32" s="87">
        <f t="shared" si="4"/>
        <v>1</v>
      </c>
      <c r="M32" s="72">
        <f t="shared" si="14"/>
        <v>0.2</v>
      </c>
      <c r="N32" s="72">
        <f t="shared" si="14"/>
        <v>0.1</v>
      </c>
      <c r="O32" s="87">
        <f t="shared" si="2"/>
        <v>2</v>
      </c>
      <c r="P32" s="72">
        <f t="shared" si="14"/>
        <v>0</v>
      </c>
      <c r="Q32" s="72">
        <f>SUM(Q33:Q34)</f>
        <v>0</v>
      </c>
      <c r="R32" s="72">
        <f t="shared" si="14"/>
        <v>0</v>
      </c>
    </row>
    <row r="33" spans="1:19" ht="18">
      <c r="A33" s="13" t="s">
        <v>8</v>
      </c>
      <c r="B33" s="13">
        <v>1170103003</v>
      </c>
      <c r="C33" s="71"/>
      <c r="D33" s="71"/>
      <c r="E33" s="71">
        <f>C33+D33</f>
        <v>0</v>
      </c>
      <c r="F33" s="71"/>
      <c r="G33" s="71"/>
      <c r="H33" s="68">
        <f>G33+M33</f>
        <v>0</v>
      </c>
      <c r="I33" s="77">
        <f t="shared" si="1"/>
        <v>0</v>
      </c>
      <c r="J33" s="77">
        <f t="shared" si="5"/>
        <v>0</v>
      </c>
      <c r="K33" s="71"/>
      <c r="L33" s="77">
        <f t="shared" si="4"/>
        <v>0</v>
      </c>
      <c r="M33" s="71"/>
      <c r="N33" s="71"/>
      <c r="O33" s="77">
        <f t="shared" ref="O33:O39" si="15">IF(N33&gt;0,M33/N33,0)</f>
        <v>0</v>
      </c>
      <c r="P33" s="77"/>
      <c r="Q33" s="77"/>
      <c r="R33" s="77"/>
    </row>
    <row r="34" spans="1:19" ht="18">
      <c r="A34" s="13" t="s">
        <v>33</v>
      </c>
      <c r="B34" s="13">
        <v>1170505010</v>
      </c>
      <c r="C34" s="71"/>
      <c r="D34" s="82">
        <v>0.8</v>
      </c>
      <c r="E34" s="71">
        <f>C34+D34</f>
        <v>0.8</v>
      </c>
      <c r="F34" s="71"/>
      <c r="G34" s="71">
        <v>0.6</v>
      </c>
      <c r="H34" s="68">
        <f>G34+M34</f>
        <v>0.8</v>
      </c>
      <c r="I34" s="77">
        <f>IF(E34&gt;0,H34/E34,0)</f>
        <v>1</v>
      </c>
      <c r="J34" s="77">
        <f>IF(F34&gt;0,H34/F34,0)</f>
        <v>0</v>
      </c>
      <c r="K34" s="71">
        <v>0.8</v>
      </c>
      <c r="L34" s="77">
        <f>IF(K34&gt;0,H34/K34,0)</f>
        <v>1</v>
      </c>
      <c r="M34" s="71">
        <v>0.2</v>
      </c>
      <c r="N34" s="71">
        <v>0.1</v>
      </c>
      <c r="O34" s="77">
        <f t="shared" si="15"/>
        <v>2</v>
      </c>
      <c r="P34" s="71"/>
      <c r="Q34" s="71"/>
      <c r="R34" s="71"/>
    </row>
    <row r="35" spans="1:19" ht="18">
      <c r="A35" s="9" t="s">
        <v>6</v>
      </c>
      <c r="B35" s="9">
        <v>1000000000</v>
      </c>
      <c r="C35" s="78">
        <f t="shared" ref="C35:H35" si="16">C5+C24</f>
        <v>1127</v>
      </c>
      <c r="D35" s="78">
        <f t="shared" si="16"/>
        <v>449.70000000000005</v>
      </c>
      <c r="E35" s="78">
        <f t="shared" si="16"/>
        <v>1576.7</v>
      </c>
      <c r="F35" s="79">
        <f t="shared" si="16"/>
        <v>0</v>
      </c>
      <c r="G35" s="79">
        <f>G5+G24</f>
        <v>1391.3000000000002</v>
      </c>
      <c r="H35" s="79">
        <f t="shared" si="16"/>
        <v>1579.1</v>
      </c>
      <c r="I35" s="91">
        <f t="shared" si="1"/>
        <v>1.0015221665503899</v>
      </c>
      <c r="J35" s="91">
        <f t="shared" si="5"/>
        <v>0</v>
      </c>
      <c r="K35" s="79">
        <f>K5+K24</f>
        <v>1377.9</v>
      </c>
      <c r="L35" s="91">
        <f t="shared" si="4"/>
        <v>1.1460193047390956</v>
      </c>
      <c r="M35" s="79">
        <f>M5+M24</f>
        <v>187.8</v>
      </c>
      <c r="N35" s="79"/>
      <c r="O35" s="91">
        <f t="shared" si="15"/>
        <v>0</v>
      </c>
      <c r="P35" s="79">
        <f>P5+P24</f>
        <v>32.099999999999994</v>
      </c>
      <c r="Q35" s="79">
        <f>Q5+Q24</f>
        <v>22</v>
      </c>
      <c r="R35" s="79">
        <f>R5+R24</f>
        <v>26.2</v>
      </c>
      <c r="S35" s="176"/>
    </row>
    <row r="36" spans="1:19" ht="18">
      <c r="A36" s="9" t="s">
        <v>92</v>
      </c>
      <c r="B36" s="9"/>
      <c r="C36" s="79">
        <f t="shared" ref="C36:H36" si="17">C35-C10</f>
        <v>402.9</v>
      </c>
      <c r="D36" s="88">
        <f t="shared" si="17"/>
        <v>449.70000000000005</v>
      </c>
      <c r="E36" s="79">
        <f t="shared" si="17"/>
        <v>852.6</v>
      </c>
      <c r="F36" s="79">
        <f t="shared" si="17"/>
        <v>0</v>
      </c>
      <c r="G36" s="79">
        <f>G35-G10</f>
        <v>622.70000000000016</v>
      </c>
      <c r="H36" s="79">
        <f t="shared" si="17"/>
        <v>741.69999999999993</v>
      </c>
      <c r="I36" s="91">
        <f>IF(E36&gt;0,H36/E36,0)</f>
        <v>0.86992728125733043</v>
      </c>
      <c r="J36" s="91">
        <f>IF(F36&gt;0,H36/F36,0)</f>
        <v>0</v>
      </c>
      <c r="K36" s="79">
        <f>K35-K10</f>
        <v>676.60000000000014</v>
      </c>
      <c r="L36" s="91">
        <f t="shared" si="4"/>
        <v>1.0962163759976349</v>
      </c>
      <c r="M36" s="79">
        <f>M35-M10</f>
        <v>119</v>
      </c>
      <c r="N36" s="79">
        <f>N35-N10</f>
        <v>-62.4</v>
      </c>
      <c r="O36" s="91">
        <f t="shared" si="15"/>
        <v>0</v>
      </c>
      <c r="P36" s="79"/>
      <c r="Q36" s="79"/>
      <c r="R36" s="79"/>
    </row>
    <row r="37" spans="1:19" ht="18">
      <c r="A37" s="13" t="s">
        <v>36</v>
      </c>
      <c r="B37" s="13">
        <v>2000000000</v>
      </c>
      <c r="C37" s="71">
        <v>3238.7</v>
      </c>
      <c r="D37" s="83">
        <f>150+70+5.5+31</f>
        <v>256.5</v>
      </c>
      <c r="E37" s="83">
        <f>C37+D37</f>
        <v>3495.2</v>
      </c>
      <c r="F37" s="71"/>
      <c r="G37" s="71">
        <v>2969.3</v>
      </c>
      <c r="H37" s="68">
        <f>G37+M37</f>
        <v>3495.2000000000003</v>
      </c>
      <c r="I37" s="77">
        <f t="shared" si="1"/>
        <v>1.0000000000000002</v>
      </c>
      <c r="J37" s="77">
        <f t="shared" si="5"/>
        <v>0</v>
      </c>
      <c r="K37" s="71">
        <v>3076</v>
      </c>
      <c r="L37" s="77">
        <f t="shared" si="4"/>
        <v>1.1362808842652796</v>
      </c>
      <c r="M37" s="71">
        <v>525.9</v>
      </c>
      <c r="N37" s="71">
        <v>381.7</v>
      </c>
      <c r="O37" s="77">
        <f t="shared" si="15"/>
        <v>1.3777835996856169</v>
      </c>
      <c r="P37" s="71"/>
      <c r="Q37" s="71"/>
      <c r="R37" s="71"/>
      <c r="S37" s="139"/>
    </row>
    <row r="38" spans="1:19" ht="18">
      <c r="A38" s="13" t="s">
        <v>46</v>
      </c>
      <c r="B38" s="34" t="s">
        <v>37</v>
      </c>
      <c r="C38" s="71"/>
      <c r="D38" s="83"/>
      <c r="E38" s="71">
        <f>C38+D38</f>
        <v>0</v>
      </c>
      <c r="F38" s="71"/>
      <c r="G38" s="71"/>
      <c r="H38" s="68">
        <f>G38+M38</f>
        <v>0</v>
      </c>
      <c r="I38" s="77">
        <f>IF(E38&gt;0,H38/E38,0)</f>
        <v>0</v>
      </c>
      <c r="J38" s="77">
        <f>IF(F38&gt;0,H38/F38,0)</f>
        <v>0</v>
      </c>
      <c r="K38" s="71">
        <v>190</v>
      </c>
      <c r="L38" s="77">
        <f t="shared" si="4"/>
        <v>0</v>
      </c>
      <c r="M38" s="71"/>
      <c r="N38" s="71"/>
      <c r="O38" s="77">
        <f t="shared" si="15"/>
        <v>0</v>
      </c>
      <c r="P38" s="71"/>
      <c r="Q38" s="71"/>
      <c r="R38" s="71"/>
    </row>
    <row r="39" spans="1:19" ht="18">
      <c r="A39" s="9" t="s">
        <v>2</v>
      </c>
      <c r="B39" s="9">
        <v>0</v>
      </c>
      <c r="C39" s="78">
        <f t="shared" ref="C39:H39" si="18">C35+C37+C38</f>
        <v>4365.7</v>
      </c>
      <c r="D39" s="78">
        <f t="shared" si="18"/>
        <v>706.2</v>
      </c>
      <c r="E39" s="78">
        <f t="shared" si="18"/>
        <v>5071.8999999999996</v>
      </c>
      <c r="F39" s="79">
        <f t="shared" si="18"/>
        <v>0</v>
      </c>
      <c r="G39" s="79">
        <f t="shared" si="18"/>
        <v>4360.6000000000004</v>
      </c>
      <c r="H39" s="79">
        <f t="shared" si="18"/>
        <v>5074.3</v>
      </c>
      <c r="I39" s="91">
        <f t="shared" si="1"/>
        <v>1.0004731954494372</v>
      </c>
      <c r="J39" s="91"/>
      <c r="K39" s="79">
        <f>K35+K37+K38</f>
        <v>4643.8999999999996</v>
      </c>
      <c r="L39" s="91">
        <f t="shared" si="4"/>
        <v>1.092680720945757</v>
      </c>
      <c r="M39" s="79">
        <f>M35+M37+M38</f>
        <v>713.7</v>
      </c>
      <c r="N39" s="79">
        <f>N35+N37+N38</f>
        <v>381.7</v>
      </c>
      <c r="O39" s="91">
        <f t="shared" si="15"/>
        <v>1.8697930311763167</v>
      </c>
      <c r="P39" s="79">
        <f>P35+P37+P38</f>
        <v>32.099999999999994</v>
      </c>
      <c r="Q39" s="79">
        <f>Q35+Q37+Q38</f>
        <v>22</v>
      </c>
      <c r="R39" s="79">
        <f>R35+R37+R38</f>
        <v>26.2</v>
      </c>
    </row>
    <row r="40" spans="1:19" ht="18" customHeight="1">
      <c r="G40" s="5"/>
      <c r="I40" s="153"/>
    </row>
    <row r="41" spans="1:19">
      <c r="G41" s="6"/>
    </row>
  </sheetData>
  <mergeCells count="15"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  <mergeCell ref="C1:M1"/>
    <mergeCell ref="B2:R2"/>
    <mergeCell ref="G3:G4"/>
    <mergeCell ref="K3:L3"/>
    <mergeCell ref="H3:J3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84"/>
  <sheetViews>
    <sheetView tabSelected="1" zoomScaleNormal="100" workbookViewId="0">
      <pane xSplit="2" ySplit="6" topLeftCell="G7" activePane="bottomRight" state="frozen"/>
      <selection pane="topRight" activeCell="C1" sqref="C1"/>
      <selection pane="bottomLeft" activeCell="A15" sqref="A15"/>
      <selection pane="bottomRight" activeCell="R24" sqref="R24"/>
    </sheetView>
  </sheetViews>
  <sheetFormatPr defaultRowHeight="12.75"/>
  <cols>
    <col min="1" max="1" width="40.5703125" customWidth="1"/>
    <col min="2" max="2" width="15.42578125" customWidth="1"/>
    <col min="3" max="3" width="16" customWidth="1"/>
    <col min="4" max="4" width="16.42578125" customWidth="1"/>
    <col min="5" max="5" width="16.5703125" customWidth="1"/>
    <col min="6" max="6" width="11.28515625" hidden="1" customWidth="1"/>
    <col min="7" max="7" width="13.7109375" customWidth="1"/>
    <col min="8" max="8" width="14.85546875" customWidth="1"/>
    <col min="9" max="9" width="12.28515625" customWidth="1"/>
    <col min="10" max="10" width="11.7109375" hidden="1" customWidth="1"/>
    <col min="11" max="11" width="14.5703125" customWidth="1"/>
    <col min="12" max="12" width="14.42578125" customWidth="1"/>
    <col min="13" max="14" width="13.5703125" customWidth="1"/>
    <col min="15" max="15" width="16" customWidth="1"/>
    <col min="16" max="16" width="10.5703125" customWidth="1"/>
    <col min="17" max="17" width="13" customWidth="1"/>
    <col min="18" max="18" width="11.7109375" customWidth="1"/>
    <col min="19" max="19" width="14" customWidth="1"/>
  </cols>
  <sheetData>
    <row r="1" spans="1:19" ht="21" customHeight="1">
      <c r="A1" s="200" t="s">
        <v>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19" ht="16.5" customHeight="1">
      <c r="A2" s="201" t="s">
        <v>134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9" ht="15.75" customHeight="1">
      <c r="A3" s="203" t="s">
        <v>3</v>
      </c>
      <c r="B3" s="203" t="s">
        <v>4</v>
      </c>
      <c r="C3" s="202" t="s">
        <v>115</v>
      </c>
      <c r="D3" s="202" t="s">
        <v>24</v>
      </c>
      <c r="E3" s="202" t="s">
        <v>116</v>
      </c>
      <c r="F3" s="202" t="s">
        <v>99</v>
      </c>
      <c r="G3" s="202" t="s">
        <v>122</v>
      </c>
      <c r="H3" s="202" t="s">
        <v>117</v>
      </c>
      <c r="I3" s="202"/>
      <c r="J3" s="202"/>
      <c r="K3" s="202" t="s">
        <v>113</v>
      </c>
      <c r="L3" s="202"/>
      <c r="M3" s="202" t="s">
        <v>126</v>
      </c>
      <c r="N3" s="202" t="s">
        <v>127</v>
      </c>
      <c r="O3" s="202" t="s">
        <v>30</v>
      </c>
      <c r="P3" s="202" t="s">
        <v>9</v>
      </c>
      <c r="Q3" s="202"/>
      <c r="R3" s="202"/>
    </row>
    <row r="4" spans="1:19" ht="99" customHeight="1">
      <c r="A4" s="204"/>
      <c r="B4" s="204"/>
      <c r="C4" s="202"/>
      <c r="D4" s="202"/>
      <c r="E4" s="202"/>
      <c r="F4" s="202"/>
      <c r="G4" s="202"/>
      <c r="H4" s="186" t="s">
        <v>125</v>
      </c>
      <c r="I4" s="186" t="s">
        <v>10</v>
      </c>
      <c r="J4" s="186" t="s">
        <v>29</v>
      </c>
      <c r="K4" s="186" t="s">
        <v>125</v>
      </c>
      <c r="L4" s="186" t="s">
        <v>30</v>
      </c>
      <c r="M4" s="202"/>
      <c r="N4" s="202"/>
      <c r="O4" s="202"/>
      <c r="P4" s="125" t="s">
        <v>118</v>
      </c>
      <c r="Q4" s="125" t="s">
        <v>123</v>
      </c>
      <c r="R4" s="125" t="s">
        <v>128</v>
      </c>
    </row>
    <row r="5" spans="1:19" ht="18">
      <c r="A5" s="7" t="s">
        <v>21</v>
      </c>
      <c r="B5" s="17"/>
      <c r="C5" s="94">
        <f t="shared" ref="C5:H5" si="0">C6+C10+C15+C21+C25+C26</f>
        <v>82076.100000000006</v>
      </c>
      <c r="D5" s="94">
        <f t="shared" si="0"/>
        <v>17631.349999999999</v>
      </c>
      <c r="E5" s="124">
        <f t="shared" si="0"/>
        <v>99707.450000000012</v>
      </c>
      <c r="F5" s="94" t="e">
        <f t="shared" si="0"/>
        <v>#REF!</v>
      </c>
      <c r="G5" s="94">
        <f t="shared" si="0"/>
        <v>92281.5</v>
      </c>
      <c r="H5" s="120">
        <f t="shared" si="0"/>
        <v>102730.90000000001</v>
      </c>
      <c r="I5" s="95">
        <f>IF(E5&gt;0,H5/E5,0)</f>
        <v>1.0303232105524711</v>
      </c>
      <c r="J5" s="95" t="e">
        <f>IF(F5&gt;0,H5/F5,0)</f>
        <v>#REF!</v>
      </c>
      <c r="K5" s="94">
        <f>K6+K10+K15+K21+K25+K26</f>
        <v>86718.5</v>
      </c>
      <c r="L5" s="95">
        <f>IF(K5&gt;0,H5/K5,0)</f>
        <v>1.1846480278141343</v>
      </c>
      <c r="M5" s="94">
        <f>M6+M10+M15+M21+M25+M26</f>
        <v>10449.400000000001</v>
      </c>
      <c r="N5" s="94">
        <f>N6+N10+N15+N21+N25+N26</f>
        <v>6556.1000000000013</v>
      </c>
      <c r="O5" s="95">
        <f>IF(N5&gt;0,M5/N5,0)</f>
        <v>1.5938439010997392</v>
      </c>
      <c r="P5" s="120">
        <f>P6+P10+P15+P21+P25+P26</f>
        <v>672.80000000000007</v>
      </c>
      <c r="Q5" s="94">
        <f>Q6+Q10+Q15+Q21+Q25+Q26</f>
        <v>802.2</v>
      </c>
      <c r="R5" s="94">
        <f>R6+R10+R15+R21+R25+R26</f>
        <v>1110.5</v>
      </c>
    </row>
    <row r="6" spans="1:19" ht="18">
      <c r="A6" s="9" t="s">
        <v>63</v>
      </c>
      <c r="B6" s="18">
        <v>1010200001</v>
      </c>
      <c r="C6" s="96">
        <f>C7+C8+C9</f>
        <v>23846.000000000004</v>
      </c>
      <c r="D6" s="152">
        <f>D7+D8+D9</f>
        <v>371.61399999999998</v>
      </c>
      <c r="E6" s="152">
        <f>E7+E8+E9</f>
        <v>24217.614000000005</v>
      </c>
      <c r="F6" s="96" t="e">
        <f>F7+F8+F9+#REF!</f>
        <v>#REF!</v>
      </c>
      <c r="G6" s="96">
        <f>G7+G8+G9</f>
        <v>21846.2</v>
      </c>
      <c r="H6" s="96">
        <f>H7+H8+H9</f>
        <v>25434.200000000004</v>
      </c>
      <c r="I6" s="97">
        <f t="shared" ref="I6:I52" si="1">IF(E6&gt;0,H6/E6,0)</f>
        <v>1.0502355847277109</v>
      </c>
      <c r="J6" s="97" t="e">
        <f t="shared" ref="J6:J52" si="2">IF(F6&gt;0,H6/F6,0)</f>
        <v>#REF!</v>
      </c>
      <c r="K6" s="96">
        <f>K7+K8+K9</f>
        <v>23592.7</v>
      </c>
      <c r="L6" s="97">
        <f t="shared" ref="L6:L52" si="3">IF(K6&gt;0,H6/K6,0)</f>
        <v>1.078053804778597</v>
      </c>
      <c r="M6" s="96">
        <f>M7+M8+M9</f>
        <v>3588.0000000000005</v>
      </c>
      <c r="N6" s="96">
        <f>N7+N8+N9</f>
        <v>3053.0000000000005</v>
      </c>
      <c r="O6" s="97">
        <f t="shared" ref="O6:O52" si="4">IF(N6&gt;0,M6/N6,0)</f>
        <v>1.1752374713396658</v>
      </c>
      <c r="P6" s="96">
        <f>P7+P8+P9</f>
        <v>38.700000000000003</v>
      </c>
      <c r="Q6" s="96">
        <f>Q7+Q8+Q9</f>
        <v>393.79999999999995</v>
      </c>
      <c r="R6" s="169">
        <f>R7+R8+R9</f>
        <v>460.7</v>
      </c>
      <c r="S6" s="170"/>
    </row>
    <row r="7" spans="1:19" ht="18" customHeight="1">
      <c r="A7" s="10" t="s">
        <v>40</v>
      </c>
      <c r="B7" s="13">
        <v>1010201001</v>
      </c>
      <c r="C7" s="98">
        <f>муниц!C6+'Лен '!C7+Высокор!C7+Гост!C7+Новотр!C7+Черн!C7</f>
        <v>23729.000000000004</v>
      </c>
      <c r="D7" s="118">
        <f>муниц!D6+'Лен '!D7+Высокор!D7+Гост!D7+Новотр!D7+Черн!D7</f>
        <v>48.914000000000001</v>
      </c>
      <c r="E7" s="102">
        <f>C7+D7</f>
        <v>23777.914000000004</v>
      </c>
      <c r="F7" s="98">
        <f>муниц!F6+'Лен '!F7+Высокор!F7+Гост!F7+Новотр!F7+Черн!F7</f>
        <v>9824.7000000000007</v>
      </c>
      <c r="G7" s="98">
        <f>муниц!G6+'Лен '!G7+Высокор!G7+Гост!G7+Новотр!G7+Черн!G7</f>
        <v>21403.4</v>
      </c>
      <c r="H7" s="100">
        <f>G7+M7</f>
        <v>24992.600000000002</v>
      </c>
      <c r="I7" s="101">
        <f t="shared" si="1"/>
        <v>1.0510846325712171</v>
      </c>
      <c r="J7" s="101">
        <f t="shared" si="2"/>
        <v>2.5438537563487942</v>
      </c>
      <c r="K7" s="98">
        <f>муниц!K6+'Лен '!K7+Высокор!K7+Гост!K7+Новотр!K7+Черн!K7</f>
        <v>23366.5</v>
      </c>
      <c r="L7" s="101">
        <f t="shared" si="3"/>
        <v>1.0695910812487965</v>
      </c>
      <c r="M7" s="98">
        <f>муниц!M6+'Лен '!M7+Высокор!M7+Гост!M7+Новотр!M7+Черн!M7</f>
        <v>3589.2000000000003</v>
      </c>
      <c r="N7" s="98">
        <f>муниц!N6+'Лен '!N7+Высокор!N7+Гост!N7+Новотр!N7+Черн!N7</f>
        <v>3019.6000000000004</v>
      </c>
      <c r="O7" s="101">
        <f t="shared" si="4"/>
        <v>1.1886342561928731</v>
      </c>
      <c r="P7" s="98">
        <f>муниц!P6+'Лен '!P7+Высокор!P7+Гост!P7+Новотр!P7+Черн!P7</f>
        <v>30.5</v>
      </c>
      <c r="Q7" s="98">
        <f>муниц!Q6+'Лен '!Q7+Высокор!Q7+Гост!Q7+Новотр!Q7+Черн!Q7</f>
        <v>188.89999999999998</v>
      </c>
      <c r="R7" s="98">
        <f>муниц!R6+'Лен '!R7+Высокор!R7+Гост!R7+Новотр!R7+Черн!R7</f>
        <v>82.8</v>
      </c>
      <c r="S7" s="26"/>
    </row>
    <row r="8" spans="1:19" ht="18.75" customHeight="1">
      <c r="A8" s="10" t="s">
        <v>41</v>
      </c>
      <c r="B8" s="13">
        <v>1010202001</v>
      </c>
      <c r="C8" s="98">
        <f>муниц!C7+'Лен '!C8+Высокор!C8+Гост!C8+Новотр!C8+Черн!C8</f>
        <v>54</v>
      </c>
      <c r="D8" s="98">
        <f>муниц!D7+'Лен '!D8+Высокор!D8+Гост!D8+Новотр!D8+Черн!D8</f>
        <v>101.69999999999999</v>
      </c>
      <c r="E8" s="102">
        <f>C8+D8</f>
        <v>155.69999999999999</v>
      </c>
      <c r="F8" s="98">
        <f>муниц!F7+'Лен '!F8+Высокор!F8+Гост!F8+Новотр!F8+Черн!F8</f>
        <v>26.1</v>
      </c>
      <c r="G8" s="98">
        <f>муниц!G7+'Лен '!G8+Высокор!G8+Гост!G8+Новотр!G8+Черн!G8</f>
        <v>155.69999999999999</v>
      </c>
      <c r="H8" s="100">
        <f>G8+M8</f>
        <v>155.69999999999999</v>
      </c>
      <c r="I8" s="101">
        <f t="shared" si="1"/>
        <v>1</v>
      </c>
      <c r="J8" s="101">
        <f t="shared" si="2"/>
        <v>5.9655172413793096</v>
      </c>
      <c r="K8" s="98">
        <f>муниц!K7+'Лен '!K8+Высокор!K8+Гост!K8+Новотр!K8+Черн!K8</f>
        <v>64.5</v>
      </c>
      <c r="L8" s="101">
        <f t="shared" si="3"/>
        <v>2.4139534883720928</v>
      </c>
      <c r="M8" s="98">
        <f>муниц!M7+'Лен '!M8+Высокор!M8+Гост!M8+Новотр!M8+Черн!M8</f>
        <v>0</v>
      </c>
      <c r="N8" s="98">
        <f>муниц!N7+'Лен '!N8+Высокор!N8+Гост!N8+Новотр!N8+Черн!N8</f>
        <v>0</v>
      </c>
      <c r="O8" s="101">
        <f t="shared" si="4"/>
        <v>0</v>
      </c>
      <c r="P8" s="98">
        <f>муниц!P7+'Лен '!P8+Высокор!P8+Гост!P8+Новотр!P8+Черн!P8</f>
        <v>0</v>
      </c>
      <c r="Q8" s="98">
        <f>муниц!Q7+'Лен '!Q8+Высокор!Q8+Гост!Q8+Новотр!Q8+Черн!Q8</f>
        <v>0</v>
      </c>
      <c r="R8" s="98">
        <f>муниц!R7+'Лен '!R8+Высокор!R8+Гост!R8+Новотр!R8+Черн!R8</f>
        <v>0</v>
      </c>
      <c r="S8" s="26"/>
    </row>
    <row r="9" spans="1:19" ht="17.25" customHeight="1">
      <c r="A9" s="10" t="s">
        <v>42</v>
      </c>
      <c r="B9" s="13">
        <v>1010203001</v>
      </c>
      <c r="C9" s="98">
        <f>муниц!C8+'Лен '!C9+Высокор!C9+Гост!C9+Новотр!C9+Черн!C9</f>
        <v>63</v>
      </c>
      <c r="D9" s="98">
        <f>муниц!D8+'Лен '!D9+Высокор!D9+Гост!D9+Новотр!D9+Черн!D9</f>
        <v>221</v>
      </c>
      <c r="E9" s="99">
        <f>C9+D9</f>
        <v>284</v>
      </c>
      <c r="F9" s="98">
        <f>муниц!F8+'Лен '!F9+Высокор!F9+Гост!F9+Новотр!F9+Черн!F9</f>
        <v>47</v>
      </c>
      <c r="G9" s="98">
        <f>муниц!G8+'Лен '!G9+Высокор!G9+Гост!G9+Новотр!G9+Черн!G9</f>
        <v>287.09999999999997</v>
      </c>
      <c r="H9" s="100">
        <f>G9+M9</f>
        <v>285.89999999999998</v>
      </c>
      <c r="I9" s="101">
        <f t="shared" si="1"/>
        <v>1.0066901408450704</v>
      </c>
      <c r="J9" s="101">
        <f t="shared" si="2"/>
        <v>6.0829787234042545</v>
      </c>
      <c r="K9" s="98">
        <f>муниц!K8+'Лен '!K9+Высокор!K9+Гост!K9+Новотр!K9+Черн!K9</f>
        <v>161.70000000000002</v>
      </c>
      <c r="L9" s="101">
        <f t="shared" si="3"/>
        <v>1.7680890538033391</v>
      </c>
      <c r="M9" s="98">
        <f>муниц!M8+'Лен '!M9+Высокор!M9+Гост!M9+Новотр!M9+Черн!M9</f>
        <v>-1.2000000000000002</v>
      </c>
      <c r="N9" s="98">
        <f>муниц!N8+'Лен '!N9+Высокор!N9+Гост!N9+Новотр!N9+Черн!N9</f>
        <v>33.4</v>
      </c>
      <c r="O9" s="101">
        <f t="shared" si="4"/>
        <v>-3.5928143712574856E-2</v>
      </c>
      <c r="P9" s="98">
        <f>муниц!P8+'Лен '!P9+Высокор!P9+Гост!P9+Новотр!P9+Черн!P9</f>
        <v>8.1999999999999993</v>
      </c>
      <c r="Q9" s="98">
        <f>муниц!Q8+'Лен '!Q9+Высокор!Q9+Гост!Q9+Новотр!Q9+Черн!Q9</f>
        <v>204.9</v>
      </c>
      <c r="R9" s="98">
        <f>муниц!R8+'Лен '!R9+Высокор!R9+Гост!R9+Новотр!R9+Черн!R9</f>
        <v>377.9</v>
      </c>
      <c r="S9" s="26"/>
    </row>
    <row r="10" spans="1:19" ht="18" customHeight="1">
      <c r="A10" s="11" t="s">
        <v>48</v>
      </c>
      <c r="B10" s="19">
        <v>1030200001</v>
      </c>
      <c r="C10" s="103">
        <f t="shared" ref="C10:H10" si="5">SUM(C11:C14)</f>
        <v>12773.099999999999</v>
      </c>
      <c r="D10" s="103">
        <f t="shared" si="5"/>
        <v>1318.5</v>
      </c>
      <c r="E10" s="103">
        <f t="shared" si="5"/>
        <v>14091.599999999999</v>
      </c>
      <c r="F10" s="103">
        <f t="shared" si="5"/>
        <v>0</v>
      </c>
      <c r="G10" s="103">
        <f t="shared" si="5"/>
        <v>13527.5</v>
      </c>
      <c r="H10" s="103">
        <f t="shared" si="5"/>
        <v>14739.800000000001</v>
      </c>
      <c r="I10" s="97">
        <f t="shared" si="1"/>
        <v>1.0459990348860315</v>
      </c>
      <c r="J10" s="97">
        <f t="shared" si="2"/>
        <v>0</v>
      </c>
      <c r="K10" s="103">
        <f>SUM(K11:K14)</f>
        <v>12355.199999999999</v>
      </c>
      <c r="L10" s="97">
        <f t="shared" si="3"/>
        <v>1.1930037555037556</v>
      </c>
      <c r="M10" s="103">
        <f>SUM(M11:M14)</f>
        <v>1212.2999999999997</v>
      </c>
      <c r="N10" s="103">
        <f>SUM(N11:N14)</f>
        <v>1096.9000000000001</v>
      </c>
      <c r="O10" s="97">
        <f t="shared" si="4"/>
        <v>1.1052055793600142</v>
      </c>
      <c r="P10" s="103">
        <f>SUM(P11:P14)</f>
        <v>0</v>
      </c>
      <c r="Q10" s="103">
        <f>SUM(Q11:Q14)</f>
        <v>0</v>
      </c>
      <c r="R10" s="103">
        <f>SUM(R11:R14)</f>
        <v>0</v>
      </c>
      <c r="S10" s="26"/>
    </row>
    <row r="11" spans="1:19" ht="18">
      <c r="A11" s="12" t="s">
        <v>49</v>
      </c>
      <c r="B11" s="12">
        <v>1030223101</v>
      </c>
      <c r="C11" s="98">
        <f>муниц!C10+'Лен '!C11+Высокор!C11+Гост!C11+Новотр!C11+Черн!C11</f>
        <v>5775.2</v>
      </c>
      <c r="D11" s="98">
        <f>муниц!D10+'Лен '!D11+Высокор!D11+Гост!D11+Новотр!D11+Черн!D11</f>
        <v>1038.5</v>
      </c>
      <c r="E11" s="99">
        <f>C11+D11</f>
        <v>6813.7</v>
      </c>
      <c r="F11" s="98">
        <f>муниц!F10+'Лен '!F11+Высокор!F11+Гост!F11+Новотр!F11+Черн!F11</f>
        <v>0</v>
      </c>
      <c r="G11" s="98">
        <f>муниц!G10+'Лен '!G11+Высокор!G11+Гост!G11+Новотр!G11+Черн!G11</f>
        <v>6759</v>
      </c>
      <c r="H11" s="100">
        <f>G11+M11</f>
        <v>7389</v>
      </c>
      <c r="I11" s="101">
        <f t="shared" si="1"/>
        <v>1.0844328338494504</v>
      </c>
      <c r="J11" s="101">
        <f t="shared" si="2"/>
        <v>0</v>
      </c>
      <c r="K11" s="98">
        <f>муниц!K10+'Лен '!K11+Высокор!K11+Гост!K11+Новотр!K11+Черн!K11</f>
        <v>5703.7000000000007</v>
      </c>
      <c r="L11" s="101">
        <f t="shared" si="3"/>
        <v>1.295474867191472</v>
      </c>
      <c r="M11" s="98">
        <f>муниц!M10+'Лен '!M11+Высокор!M11+Гост!M11+Новотр!M11+Черн!M11</f>
        <v>629.99999999999989</v>
      </c>
      <c r="N11" s="98">
        <f>муниц!N10+'Лен '!N11+Высокор!N11+Гост!N11+Новотр!N11+Черн!N11</f>
        <v>543.6</v>
      </c>
      <c r="O11" s="101">
        <f t="shared" si="4"/>
        <v>1.1589403973509931</v>
      </c>
      <c r="P11" s="98">
        <f>муниц!P10+'Лен '!P11+Высокор!P11+Гост!P11+Новотр!P11+Черн!P11</f>
        <v>0</v>
      </c>
      <c r="Q11" s="98">
        <f>муниц!Q10+'Лен '!Q11+Высокор!Q11+Гост!Q11+Новотр!Q11+Черн!Q11</f>
        <v>0</v>
      </c>
      <c r="R11" s="98">
        <f>муниц!R10+'Лен '!R11+Высокор!R11+Гост!R11+Новотр!R11+Черн!R11</f>
        <v>0</v>
      </c>
      <c r="S11" s="26"/>
    </row>
    <row r="12" spans="1:19" ht="18">
      <c r="A12" s="12" t="s">
        <v>50</v>
      </c>
      <c r="B12" s="12">
        <v>1030224101</v>
      </c>
      <c r="C12" s="98">
        <f>муниц!C11+'Лен '!C12+Высокор!C12+Гост!C12+Новотр!C12+Черн!C12</f>
        <v>31.900000000000002</v>
      </c>
      <c r="D12" s="98">
        <f>муниц!D11+'Лен '!D12+Высокор!D12+Гост!D12+Новотр!D12+Черн!D12</f>
        <v>0</v>
      </c>
      <c r="E12" s="99">
        <f>C12+D12</f>
        <v>31.900000000000002</v>
      </c>
      <c r="F12" s="98">
        <f>муниц!F11+'Лен '!F12+Высокор!F12+Гост!F12+Новотр!F12+Черн!F12</f>
        <v>0</v>
      </c>
      <c r="G12" s="98">
        <f>муниц!G11+'Лен '!G12+Высокор!G12+Гост!G12+Новотр!G12+Черн!G12</f>
        <v>37.400000000000006</v>
      </c>
      <c r="H12" s="100">
        <f>G12+M12</f>
        <v>39.800000000000004</v>
      </c>
      <c r="I12" s="101">
        <f t="shared" si="1"/>
        <v>1.2476489028213167</v>
      </c>
      <c r="J12" s="101">
        <f t="shared" si="2"/>
        <v>0</v>
      </c>
      <c r="K12" s="98">
        <f>муниц!K11+'Лен '!K12+Высокор!K12+Гост!K12+Новотр!K12+Черн!K12</f>
        <v>40.199999999999996</v>
      </c>
      <c r="L12" s="101">
        <f t="shared" si="3"/>
        <v>0.99004975124378125</v>
      </c>
      <c r="M12" s="98">
        <f>муниц!M11+'Лен '!M12+Высокор!M12+Гост!M12+Новотр!M12+Черн!M12</f>
        <v>2.4000000000000004</v>
      </c>
      <c r="N12" s="98">
        <f>муниц!N11+'Лен '!N12+Высокор!N12+Гост!N12+Новотр!N12+Черн!N12</f>
        <v>3.5000000000000004</v>
      </c>
      <c r="O12" s="101">
        <f t="shared" si="4"/>
        <v>0.68571428571428572</v>
      </c>
      <c r="P12" s="98">
        <f>муниц!P11+'Лен '!P12+Высокор!P12+Гост!P12+Новотр!P12+Черн!P12</f>
        <v>0</v>
      </c>
      <c r="Q12" s="98">
        <f>муниц!Q11+'Лен '!Q12+Высокор!Q12+Гост!Q12+Новотр!Q12+Черн!Q12</f>
        <v>0</v>
      </c>
      <c r="R12" s="98">
        <f>муниц!R11+'Лен '!R12+Высокор!R12+Гост!R12+Новотр!R12+Черн!R12</f>
        <v>0</v>
      </c>
      <c r="S12" s="26"/>
    </row>
    <row r="13" spans="1:19" ht="18" customHeight="1">
      <c r="A13" s="12" t="s">
        <v>51</v>
      </c>
      <c r="B13" s="12">
        <v>1030225101</v>
      </c>
      <c r="C13" s="98">
        <f>муниц!C12+'Лен '!C13+Высокор!C13+Гост!C13+Новотр!C13+Черн!C13</f>
        <v>7690.2000000000007</v>
      </c>
      <c r="D13" s="98">
        <f>муниц!D12+'Лен '!D13+Высокор!D13+Гост!D13+Новотр!D13+Черн!D13</f>
        <v>280</v>
      </c>
      <c r="E13" s="99">
        <f>C13+D13</f>
        <v>7970.2000000000007</v>
      </c>
      <c r="F13" s="98">
        <f>муниц!F12+'Лен '!F13+Высокор!F13+Гост!F13+Новотр!F13+Черн!F13</f>
        <v>0</v>
      </c>
      <c r="G13" s="98">
        <f>муниц!G12+'Лен '!G13+Высокор!G13+Гост!G13+Новотр!G13+Черн!G13</f>
        <v>7523.5999999999995</v>
      </c>
      <c r="H13" s="100">
        <f>G13+M13</f>
        <v>8158.4</v>
      </c>
      <c r="I13" s="101">
        <f t="shared" si="1"/>
        <v>1.0236129582695539</v>
      </c>
      <c r="J13" s="101">
        <f t="shared" si="2"/>
        <v>0</v>
      </c>
      <c r="K13" s="98">
        <f>муниц!K12+'Лен '!K13+Высокор!K13+Гост!K13+Новотр!K13+Черн!K13</f>
        <v>7583.9</v>
      </c>
      <c r="L13" s="101">
        <f t="shared" si="3"/>
        <v>1.075752581125806</v>
      </c>
      <c r="M13" s="98">
        <f>муниц!M12+'Лен '!M13+Высокор!M13+Гост!M13+Новотр!M13+Черн!M13</f>
        <v>634.79999999999995</v>
      </c>
      <c r="N13" s="98">
        <f>муниц!N12+'Лен '!N13+Высокор!N13+Гост!N13+Новотр!N13+Черн!N13</f>
        <v>648.20000000000005</v>
      </c>
      <c r="O13" s="101">
        <f t="shared" si="4"/>
        <v>0.97932736809626642</v>
      </c>
      <c r="P13" s="98">
        <f>муниц!P12+'Лен '!P13+Высокор!P13+Гост!P13+Новотр!P13+Черн!P13</f>
        <v>0</v>
      </c>
      <c r="Q13" s="98">
        <f>муниц!Q12+'Лен '!Q13+Высокор!Q13+Гост!Q13+Новотр!Q13+Черн!Q13</f>
        <v>0</v>
      </c>
      <c r="R13" s="98">
        <f>муниц!R12+'Лен '!R13+Высокор!R13+Гост!R13+Новотр!R13+Черн!R13</f>
        <v>0</v>
      </c>
      <c r="S13" s="26"/>
    </row>
    <row r="14" spans="1:19" ht="18">
      <c r="A14" s="12" t="s">
        <v>52</v>
      </c>
      <c r="B14" s="12">
        <v>1030226101</v>
      </c>
      <c r="C14" s="98">
        <f>муниц!C13+'Лен '!C14+Высокор!C14+Гост!C14+Новотр!C14+Черн!C14</f>
        <v>-724.19999999999993</v>
      </c>
      <c r="D14" s="98">
        <f>муниц!D13+'Лен '!D14+Высокор!D14+Гост!D14+Новотр!D14+Черн!D14</f>
        <v>0</v>
      </c>
      <c r="E14" s="99">
        <f>C14+D14</f>
        <v>-724.19999999999993</v>
      </c>
      <c r="F14" s="98">
        <f>муниц!F13+'Лен '!F14+Высокор!F14+Гост!F14+Новотр!F14+Черн!F14</f>
        <v>0</v>
      </c>
      <c r="G14" s="98">
        <f>муниц!G13+'Лен '!G14+Высокор!G14+Гост!G14+Новотр!G14+Черн!G14</f>
        <v>-792.49999999999989</v>
      </c>
      <c r="H14" s="100">
        <f>G14+M14</f>
        <v>-847.39999999999986</v>
      </c>
      <c r="I14" s="101">
        <f>H14/E14</f>
        <v>1.1701187517260425</v>
      </c>
      <c r="J14" s="101">
        <f t="shared" si="2"/>
        <v>0</v>
      </c>
      <c r="K14" s="98">
        <f>муниц!K13+'Лен '!K14+Высокор!K14+Гост!K14+Новотр!K14+Черн!K14</f>
        <v>-972.6</v>
      </c>
      <c r="L14" s="101">
        <f t="shared" si="3"/>
        <v>0</v>
      </c>
      <c r="M14" s="98">
        <f>муниц!M13+'Лен '!M14+Высокор!M14+Гост!M14+Новотр!M14+Черн!M14</f>
        <v>-54.9</v>
      </c>
      <c r="N14" s="98">
        <f>муниц!N13+'Лен '!N14+Высокор!N14+Гост!N14+Новотр!N14+Черн!N14</f>
        <v>-98.399999999999991</v>
      </c>
      <c r="O14" s="101">
        <f t="shared" si="4"/>
        <v>0</v>
      </c>
      <c r="P14" s="98">
        <f>муниц!P13+'Лен '!P14+Высокор!P14+Гост!P14+Новотр!P14+Черн!P14</f>
        <v>0</v>
      </c>
      <c r="Q14" s="98">
        <f>муниц!Q13+'Лен '!Q14+Высокор!Q14+Гост!Q14+Новотр!Q14+Черн!Q14</f>
        <v>0</v>
      </c>
      <c r="R14" s="98">
        <f>муниц!R13+'Лен '!R14+Высокор!R14+Гост!R14+Новотр!R14+Черн!R14</f>
        <v>0</v>
      </c>
      <c r="S14" s="26"/>
    </row>
    <row r="15" spans="1:19" ht="18">
      <c r="A15" s="9" t="s">
        <v>82</v>
      </c>
      <c r="B15" s="18">
        <v>1050000000</v>
      </c>
      <c r="C15" s="96">
        <f t="shared" ref="C15:H15" si="6">C16+C17+C18+C19+C20</f>
        <v>35760</v>
      </c>
      <c r="D15" s="96">
        <f t="shared" si="6"/>
        <v>12521.936</v>
      </c>
      <c r="E15" s="152">
        <f t="shared" si="6"/>
        <v>48281.936000000002</v>
      </c>
      <c r="F15" s="96">
        <f t="shared" si="6"/>
        <v>11352.9</v>
      </c>
      <c r="G15" s="96">
        <f t="shared" si="6"/>
        <v>44395.7</v>
      </c>
      <c r="H15" s="96">
        <f t="shared" si="6"/>
        <v>49316.799999999996</v>
      </c>
      <c r="I15" s="97">
        <f t="shared" si="1"/>
        <v>1.0214337718354956</v>
      </c>
      <c r="J15" s="97">
        <f t="shared" si="2"/>
        <v>4.3439825947555244</v>
      </c>
      <c r="K15" s="96">
        <f>K16+K17+K18+K19+K20</f>
        <v>41251.9</v>
      </c>
      <c r="L15" s="97">
        <f t="shared" si="3"/>
        <v>1.1955037222527931</v>
      </c>
      <c r="M15" s="96">
        <f>M16+M17+M18+M19+M20</f>
        <v>4921.1000000000004</v>
      </c>
      <c r="N15" s="96">
        <f>N16+N17+N18+N19+N20</f>
        <v>2019.4</v>
      </c>
      <c r="O15" s="97">
        <f t="shared" si="4"/>
        <v>2.4369119540457564</v>
      </c>
      <c r="P15" s="96">
        <f>P16+P17+P18+P19+P20</f>
        <v>150.4</v>
      </c>
      <c r="Q15" s="96">
        <f>Q16+Q17+Q18+Q19+Q20</f>
        <v>139.1</v>
      </c>
      <c r="R15" s="96">
        <f>R16+R17+R18+R19+R20</f>
        <v>191.29999999999998</v>
      </c>
      <c r="S15" s="26"/>
    </row>
    <row r="16" spans="1:19" ht="18">
      <c r="A16" s="10" t="s">
        <v>53</v>
      </c>
      <c r="B16" s="28">
        <v>1050101001</v>
      </c>
      <c r="C16" s="98">
        <f>муниц!C15</f>
        <v>28100</v>
      </c>
      <c r="D16" s="98">
        <f>муниц!D15</f>
        <v>10459</v>
      </c>
      <c r="E16" s="102">
        <f>C16+D16</f>
        <v>38559</v>
      </c>
      <c r="F16" s="98">
        <f>муниц!F15</f>
        <v>7051</v>
      </c>
      <c r="G16" s="98">
        <f>муниц!G15</f>
        <v>35307</v>
      </c>
      <c r="H16" s="100">
        <f>G16+M16</f>
        <v>39295.199999999997</v>
      </c>
      <c r="I16" s="101">
        <f t="shared" si="1"/>
        <v>1.019092818797168</v>
      </c>
      <c r="J16" s="101">
        <f t="shared" si="2"/>
        <v>5.5729967380513399</v>
      </c>
      <c r="K16" s="98">
        <f>муниц!K15</f>
        <v>32060.3</v>
      </c>
      <c r="L16" s="101">
        <f t="shared" si="3"/>
        <v>1.2256653867867735</v>
      </c>
      <c r="M16" s="98">
        <f>муниц!M15</f>
        <v>3988.2</v>
      </c>
      <c r="N16" s="98">
        <f>муниц!N15</f>
        <v>1496.7</v>
      </c>
      <c r="O16" s="101">
        <f t="shared" si="4"/>
        <v>2.6646622569653236</v>
      </c>
      <c r="P16" s="98">
        <f>муниц!P15</f>
        <v>146</v>
      </c>
      <c r="Q16" s="98">
        <f>муниц!Q15</f>
        <v>98.3</v>
      </c>
      <c r="R16" s="98">
        <f>муниц!R15</f>
        <v>129.69999999999999</v>
      </c>
      <c r="S16" s="26"/>
    </row>
    <row r="17" spans="1:19" ht="18">
      <c r="A17" s="10" t="s">
        <v>54</v>
      </c>
      <c r="B17" s="28">
        <v>1050102001</v>
      </c>
      <c r="C17" s="98">
        <f>муниц!C16</f>
        <v>6000</v>
      </c>
      <c r="D17" s="98">
        <f>муниц!D16</f>
        <v>1411</v>
      </c>
      <c r="E17" s="102">
        <f>C17+D17</f>
        <v>7411</v>
      </c>
      <c r="F17" s="98">
        <f>муниц!F16</f>
        <v>1509</v>
      </c>
      <c r="G17" s="98">
        <f>муниц!G16</f>
        <v>7115.5</v>
      </c>
      <c r="H17" s="100">
        <f>G17+M17</f>
        <v>7411.2</v>
      </c>
      <c r="I17" s="101">
        <f t="shared" si="1"/>
        <v>1.0000269869113481</v>
      </c>
      <c r="J17" s="101">
        <f t="shared" si="2"/>
        <v>4.9113320079522857</v>
      </c>
      <c r="K17" s="98">
        <f>муниц!K16</f>
        <v>6140.6</v>
      </c>
      <c r="L17" s="101">
        <f t="shared" si="3"/>
        <v>1.2069178907598606</v>
      </c>
      <c r="M17" s="98">
        <f>муниц!M16</f>
        <v>295.7</v>
      </c>
      <c r="N17" s="98">
        <f>муниц!N16</f>
        <v>254.6</v>
      </c>
      <c r="O17" s="101">
        <f t="shared" si="4"/>
        <v>1.1614296936370778</v>
      </c>
      <c r="P17" s="98">
        <f>муниц!P16</f>
        <v>2.2999999999999998</v>
      </c>
      <c r="Q17" s="98">
        <f>муниц!Q16</f>
        <v>30.8</v>
      </c>
      <c r="R17" s="98">
        <f>муниц!R16</f>
        <v>61.6</v>
      </c>
      <c r="S17" s="26"/>
    </row>
    <row r="18" spans="1:19" ht="18">
      <c r="A18" s="13" t="s">
        <v>0</v>
      </c>
      <c r="B18" s="28">
        <v>1050200001</v>
      </c>
      <c r="C18" s="98">
        <f>муниц!C17</f>
        <v>0</v>
      </c>
      <c r="D18" s="98">
        <f>муниц!D17</f>
        <v>0</v>
      </c>
      <c r="E18" s="102">
        <f>C18+D18</f>
        <v>0</v>
      </c>
      <c r="F18" s="98">
        <f>муниц!F17</f>
        <v>2641</v>
      </c>
      <c r="G18" s="98">
        <f>муниц!G17</f>
        <v>-19.3</v>
      </c>
      <c r="H18" s="100">
        <f>G18+M18</f>
        <v>-19.2</v>
      </c>
      <c r="I18" s="101">
        <f t="shared" si="1"/>
        <v>0</v>
      </c>
      <c r="J18" s="101">
        <f t="shared" si="2"/>
        <v>-7.2699734948882995E-3</v>
      </c>
      <c r="K18" s="98">
        <f>муниц!K17</f>
        <v>1349.3</v>
      </c>
      <c r="L18" s="101">
        <f t="shared" si="3"/>
        <v>-1.4229600533610019E-2</v>
      </c>
      <c r="M18" s="98">
        <f>муниц!M17</f>
        <v>0.1</v>
      </c>
      <c r="N18" s="98">
        <f>муниц!N17</f>
        <v>7.2</v>
      </c>
      <c r="O18" s="101">
        <f t="shared" si="4"/>
        <v>1.388888888888889E-2</v>
      </c>
      <c r="P18" s="98">
        <f>муниц!P17</f>
        <v>2.1</v>
      </c>
      <c r="Q18" s="98">
        <f>муниц!Q17</f>
        <v>0</v>
      </c>
      <c r="R18" s="98">
        <f>муниц!R17</f>
        <v>0</v>
      </c>
      <c r="S18" s="26"/>
    </row>
    <row r="19" spans="1:19" ht="18">
      <c r="A19" s="13" t="s">
        <v>7</v>
      </c>
      <c r="B19" s="28">
        <v>1050300001</v>
      </c>
      <c r="C19" s="98">
        <f>муниц!C18+'Лен '!C16+Высокор!C16+Гост!C16+Новотр!C16+Черн!C16</f>
        <v>420</v>
      </c>
      <c r="D19" s="98">
        <f>муниц!D18+'Лен '!D16+Высокор!D16+Гост!D16+Новотр!D16+Черн!D16</f>
        <v>651.93600000000004</v>
      </c>
      <c r="E19" s="119">
        <f>C19+D19</f>
        <v>1071.9360000000001</v>
      </c>
      <c r="F19" s="98">
        <f>муниц!F18+'Лен '!F16+Высокор!F16+Гост!F16+Новотр!F16+Черн!F16</f>
        <v>63</v>
      </c>
      <c r="G19" s="98">
        <f>муниц!G18+'Лен '!G16+Высокор!G16+Гост!G16+Новотр!G16+Черн!G16</f>
        <v>949.6</v>
      </c>
      <c r="H19" s="100">
        <f>G19+M19</f>
        <v>949.6</v>
      </c>
      <c r="I19" s="101">
        <f t="shared" si="1"/>
        <v>0.88587378350946311</v>
      </c>
      <c r="J19" s="101">
        <f t="shared" si="2"/>
        <v>15.073015873015873</v>
      </c>
      <c r="K19" s="98">
        <f>муниц!K18+'Лен '!K16+Высокор!K16+Гост!K16+Новотр!K16+Черн!K16</f>
        <v>370.09999999999997</v>
      </c>
      <c r="L19" s="101">
        <f t="shared" si="3"/>
        <v>2.5657930289111053</v>
      </c>
      <c r="M19" s="98">
        <f>муниц!M18+'Лен '!M16+Высокор!M16+Гост!M16+Новотр!M16+Черн!M16</f>
        <v>0</v>
      </c>
      <c r="N19" s="98">
        <f>муниц!N18+'Лен '!N16+Высокор!N16+Гост!N16+Новотр!N16+Черн!N16</f>
        <v>0</v>
      </c>
      <c r="O19" s="101">
        <f t="shared" si="4"/>
        <v>0</v>
      </c>
      <c r="P19" s="98">
        <f>муниц!P18+'Лен '!P16+Высокор!P16+Гост!P16+Новотр!P16+Черн!P16</f>
        <v>0</v>
      </c>
      <c r="Q19" s="98">
        <f>муниц!Q18+'Лен '!Q16+Высокор!Q16+Гост!Q16+Новотр!Q16+Черн!Q16</f>
        <v>0</v>
      </c>
      <c r="R19" s="98">
        <f>муниц!R18+'Лен '!R16+Высокор!R16+Гост!R16+Новотр!R16+Черн!R16</f>
        <v>0</v>
      </c>
      <c r="S19" s="26"/>
    </row>
    <row r="20" spans="1:19" ht="18">
      <c r="A20" s="10" t="s">
        <v>96</v>
      </c>
      <c r="B20" s="28">
        <v>1050402002</v>
      </c>
      <c r="C20" s="98">
        <f>муниц!C19</f>
        <v>1240</v>
      </c>
      <c r="D20" s="98">
        <f>муниц!D19</f>
        <v>0</v>
      </c>
      <c r="E20" s="102">
        <f>C20+D20</f>
        <v>1240</v>
      </c>
      <c r="F20" s="98">
        <f>муниц!F19</f>
        <v>88.9</v>
      </c>
      <c r="G20" s="98">
        <f>муниц!G19</f>
        <v>1042.9000000000001</v>
      </c>
      <c r="H20" s="100">
        <f>G20+M20</f>
        <v>1680</v>
      </c>
      <c r="I20" s="101">
        <f t="shared" si="1"/>
        <v>1.3548387096774193</v>
      </c>
      <c r="J20" s="101">
        <f t="shared" si="2"/>
        <v>18.897637795275589</v>
      </c>
      <c r="K20" s="98">
        <f>муниц!K19</f>
        <v>1331.6</v>
      </c>
      <c r="L20" s="101">
        <f t="shared" si="3"/>
        <v>1.2616401321718234</v>
      </c>
      <c r="M20" s="98">
        <f>муниц!M19</f>
        <v>637.1</v>
      </c>
      <c r="N20" s="98">
        <f>муниц!N19</f>
        <v>260.89999999999998</v>
      </c>
      <c r="O20" s="101">
        <f t="shared" si="4"/>
        <v>2.4419317746262941</v>
      </c>
      <c r="P20" s="98">
        <f>муниц!P19</f>
        <v>0</v>
      </c>
      <c r="Q20" s="98">
        <f>муниц!Q19</f>
        <v>10</v>
      </c>
      <c r="R20" s="98">
        <f>муниц!R19</f>
        <v>0</v>
      </c>
      <c r="S20" s="26"/>
    </row>
    <row r="21" spans="1:19" ht="18">
      <c r="A21" s="9" t="s">
        <v>80</v>
      </c>
      <c r="B21" s="18">
        <v>1060000000</v>
      </c>
      <c r="C21" s="104">
        <f t="shared" ref="C21:H21" si="7">C22+C23+C24</f>
        <v>8973</v>
      </c>
      <c r="D21" s="104">
        <f t="shared" si="7"/>
        <v>1129.0999999999999</v>
      </c>
      <c r="E21" s="152">
        <f t="shared" si="7"/>
        <v>10102.1</v>
      </c>
      <c r="F21" s="104">
        <f t="shared" si="7"/>
        <v>1983</v>
      </c>
      <c r="G21" s="104">
        <f t="shared" si="7"/>
        <v>9620.2999999999993</v>
      </c>
      <c r="H21" s="104">
        <f t="shared" si="7"/>
        <v>10155.5</v>
      </c>
      <c r="I21" s="97">
        <f t="shared" si="1"/>
        <v>1.005286029637402</v>
      </c>
      <c r="J21" s="97">
        <f t="shared" si="2"/>
        <v>5.1212808875441249</v>
      </c>
      <c r="K21" s="104">
        <f>K22+K23+K24</f>
        <v>8790.5999999999985</v>
      </c>
      <c r="L21" s="97">
        <f t="shared" si="3"/>
        <v>1.1552681273178169</v>
      </c>
      <c r="M21" s="104">
        <f>M22+M23+M24</f>
        <v>535.19999999999993</v>
      </c>
      <c r="N21" s="104">
        <f>N22+N23+N24</f>
        <v>348.79999999999995</v>
      </c>
      <c r="O21" s="97">
        <f t="shared" si="4"/>
        <v>1.5344036697247707</v>
      </c>
      <c r="P21" s="96">
        <f>P22+P23+P24</f>
        <v>483.70000000000005</v>
      </c>
      <c r="Q21" s="104">
        <f>Q22+Q23+Q24</f>
        <v>269.3</v>
      </c>
      <c r="R21" s="104">
        <f>R22+R23+R24</f>
        <v>458.5</v>
      </c>
      <c r="S21" s="26"/>
    </row>
    <row r="22" spans="1:19" ht="18">
      <c r="A22" s="13" t="s">
        <v>16</v>
      </c>
      <c r="B22" s="13">
        <v>1060103003</v>
      </c>
      <c r="C22" s="98">
        <f>'Лен '!C21+Высокор!C21+Гост!C21+Новотр!C21+Черн!C21</f>
        <v>893</v>
      </c>
      <c r="D22" s="98">
        <f>'Лен '!D21+Высокор!D21+Гост!D21+Новотр!D21+Черн!D21</f>
        <v>151.19999999999999</v>
      </c>
      <c r="E22" s="102">
        <f>C22+D22</f>
        <v>1044.2</v>
      </c>
      <c r="F22" s="98">
        <f>'Лен '!F21+Высокор!F21+Гост!F21+Новотр!F21+Черн!F21</f>
        <v>0</v>
      </c>
      <c r="G22" s="100">
        <f>'Лен '!G21+Высокор!G21+Гост!G21+Новотр!G21+Черн!G21</f>
        <v>853.19999999999993</v>
      </c>
      <c r="H22" s="100">
        <f>G22+M22</f>
        <v>1075.6999999999998</v>
      </c>
      <c r="I22" s="101">
        <f>IF(E22&gt;0,H22/E22,0)</f>
        <v>1.0301666347443017</v>
      </c>
      <c r="J22" s="101">
        <f>IF(F22&gt;0,H22/F22,0)</f>
        <v>0</v>
      </c>
      <c r="K22" s="100">
        <f>'Лен '!K21+Высокор!K21+Гост!K21+Новотр!K21+Черн!K21</f>
        <v>1010.2000000000002</v>
      </c>
      <c r="L22" s="101">
        <f>IF(K22&gt;0,H22/K22,0)</f>
        <v>1.0648386458127099</v>
      </c>
      <c r="M22" s="100">
        <f>'Лен '!M21+Высокор!M21+Гост!M21+Новотр!M21+Черн!M21</f>
        <v>222.49999999999997</v>
      </c>
      <c r="N22" s="100">
        <f>'Лен '!N21+Высокор!N21+Гост!N21+Новотр!N21+Черн!N21</f>
        <v>201.6</v>
      </c>
      <c r="O22" s="101">
        <f>IF(N22&gt;0,M22/N22,0)</f>
        <v>1.1036706349206349</v>
      </c>
      <c r="P22" s="100">
        <f>'Лен '!P21+Высокор!P21+Гост!P21+Новотр!P21+Черн!P21</f>
        <v>272.3</v>
      </c>
      <c r="Q22" s="100">
        <f>'Лен '!Q21+Высокор!Q21+Гост!Q21+Новотр!Q21+Черн!Q21</f>
        <v>131.5</v>
      </c>
      <c r="R22" s="100">
        <f>'Лен '!R21+Высокор!R21+Гост!R21+Новотр!R21+Черн!R21</f>
        <v>251.7</v>
      </c>
      <c r="S22" s="26"/>
    </row>
    <row r="23" spans="1:19" ht="18">
      <c r="A23" s="13" t="s">
        <v>19</v>
      </c>
      <c r="B23" s="13">
        <v>1060201002</v>
      </c>
      <c r="C23" s="98">
        <f>муниц!C20</f>
        <v>6350</v>
      </c>
      <c r="D23" s="98">
        <f>муниц!D20</f>
        <v>804</v>
      </c>
      <c r="E23" s="102">
        <f>C23+D23</f>
        <v>7154</v>
      </c>
      <c r="F23" s="98">
        <f>муниц!F20</f>
        <v>1983</v>
      </c>
      <c r="G23" s="98">
        <f>муниц!G20</f>
        <v>7036.6</v>
      </c>
      <c r="H23" s="100">
        <f>G23+M23</f>
        <v>7167.8</v>
      </c>
      <c r="I23" s="101">
        <f t="shared" si="1"/>
        <v>1.001928990774392</v>
      </c>
      <c r="J23" s="101">
        <f t="shared" si="2"/>
        <v>3.6146243066061525</v>
      </c>
      <c r="K23" s="98">
        <f>муниц!K20</f>
        <v>6256.2</v>
      </c>
      <c r="L23" s="101">
        <f t="shared" si="3"/>
        <v>1.1457114542373965</v>
      </c>
      <c r="M23" s="98">
        <f>муниц!M20</f>
        <v>131.19999999999999</v>
      </c>
      <c r="N23" s="98">
        <f>муниц!N20</f>
        <v>1.5</v>
      </c>
      <c r="O23" s="101">
        <f t="shared" si="4"/>
        <v>87.466666666666654</v>
      </c>
      <c r="P23" s="98">
        <f>муниц!P20</f>
        <v>0</v>
      </c>
      <c r="Q23" s="98">
        <f>муниц!Q20</f>
        <v>0</v>
      </c>
      <c r="R23" s="98">
        <f>муниц!R20</f>
        <v>0</v>
      </c>
      <c r="S23" s="26"/>
    </row>
    <row r="24" spans="1:19" ht="18">
      <c r="A24" s="13" t="s">
        <v>15</v>
      </c>
      <c r="B24" s="13">
        <v>1060600000</v>
      </c>
      <c r="C24" s="98">
        <f>'Лен '!C18+Высокор!C18+Гост!C18+Новотр!C18+Черн!C18</f>
        <v>1730</v>
      </c>
      <c r="D24" s="98">
        <f>'Лен '!D18+Высокор!D18+Гост!D18+Новотр!D18+Черн!D18</f>
        <v>173.89999999999998</v>
      </c>
      <c r="E24" s="99">
        <f>C24+D24</f>
        <v>1903.9</v>
      </c>
      <c r="F24" s="98">
        <f>'Лен '!F18+Высокор!F18+Гост!F18+Новотр!F18+Черн!F18</f>
        <v>0</v>
      </c>
      <c r="G24" s="100">
        <f>'Лен '!G18+Высокор!G18+Гост!G18+Новотр!G18+Черн!G18</f>
        <v>1730.5</v>
      </c>
      <c r="H24" s="100">
        <f>G24+M24</f>
        <v>1912</v>
      </c>
      <c r="I24" s="101">
        <f t="shared" si="1"/>
        <v>1.0042544251273702</v>
      </c>
      <c r="J24" s="101">
        <f t="shared" si="2"/>
        <v>0</v>
      </c>
      <c r="K24" s="100">
        <f>'Лен '!K18+Высокор!K18+Гост!K18+Новотр!K18+Черн!K18</f>
        <v>1524.1999999999998</v>
      </c>
      <c r="L24" s="101">
        <f t="shared" si="3"/>
        <v>1.2544285526833749</v>
      </c>
      <c r="M24" s="100">
        <f>'Лен '!M18+Высокор!M18+Гост!M18+Новотр!M18+Черн!M18</f>
        <v>181.5</v>
      </c>
      <c r="N24" s="100">
        <f>'Лен '!N18+Высокор!N18+Гост!N18+Новотр!N18+Черн!N18</f>
        <v>145.69999999999999</v>
      </c>
      <c r="O24" s="101">
        <f t="shared" si="4"/>
        <v>1.2457103637611531</v>
      </c>
      <c r="P24" s="100">
        <f>'Лен '!P18+Высокор!P18+Гост!P18+Новотр!P18+Черн!P18</f>
        <v>211.4</v>
      </c>
      <c r="Q24" s="100">
        <f>'Лен '!Q18+Высокор!Q18+Гост!Q18+Новотр!Q18+Черн!Q18</f>
        <v>137.80000000000001</v>
      </c>
      <c r="R24" s="100">
        <f>'Лен '!R18+Высокор!R18+Гост!R18+Новотр!R18+Черн!R18</f>
        <v>206.8</v>
      </c>
      <c r="S24" s="26"/>
    </row>
    <row r="25" spans="1:19" ht="18">
      <c r="A25" s="9" t="s">
        <v>83</v>
      </c>
      <c r="B25" s="18">
        <v>1080000000</v>
      </c>
      <c r="C25" s="103">
        <f>муниц!C21+Высокор!C22+Гост!C22+Новотр!C22+Черн!C22</f>
        <v>724</v>
      </c>
      <c r="D25" s="103">
        <f>муниц!D21+Высокор!D22+Гост!D22+Новотр!D22+Черн!D22</f>
        <v>2290.1999999999998</v>
      </c>
      <c r="E25" s="105">
        <f>C25+D25</f>
        <v>3014.2</v>
      </c>
      <c r="F25" s="103">
        <f>муниц!F21+Высокор!F22+Гост!F22+Новотр!F22+Черн!F22</f>
        <v>289</v>
      </c>
      <c r="G25" s="103">
        <f>муниц!G21+Высокор!G22+Гост!G22+Новотр!G22+Черн!G22</f>
        <v>2891.7999999999997</v>
      </c>
      <c r="H25" s="96">
        <f>G25+M25</f>
        <v>3084.6</v>
      </c>
      <c r="I25" s="97">
        <f t="shared" si="1"/>
        <v>1.0233561143918786</v>
      </c>
      <c r="J25" s="97">
        <f t="shared" si="2"/>
        <v>10.673356401384083</v>
      </c>
      <c r="K25" s="103">
        <f>муниц!K21+Высокор!K22+Гост!K22+Новотр!K22+Черн!K22</f>
        <v>728.1</v>
      </c>
      <c r="L25" s="97">
        <f t="shared" si="3"/>
        <v>4.2365059744540581</v>
      </c>
      <c r="M25" s="103">
        <f>муниц!M21+Высокор!M22+Гост!M22+Новотр!M22+Черн!M22</f>
        <v>192.79999999999998</v>
      </c>
      <c r="N25" s="103">
        <f>муниц!N21+Высокор!N22+Гост!N22+Новотр!N22+Черн!N22</f>
        <v>38</v>
      </c>
      <c r="O25" s="97">
        <f t="shared" si="4"/>
        <v>5.0736842105263156</v>
      </c>
      <c r="P25" s="106"/>
      <c r="Q25" s="106"/>
      <c r="R25" s="106"/>
      <c r="S25" s="26"/>
    </row>
    <row r="26" spans="1:19" ht="18" hidden="1">
      <c r="A26" s="9" t="s">
        <v>84</v>
      </c>
      <c r="B26" s="18">
        <v>1090000000</v>
      </c>
      <c r="C26" s="103">
        <f>муниц!C22+'Лен '!C22+Высокор!C23+Гост!C23+Новотр!C23+Черн!C23</f>
        <v>0</v>
      </c>
      <c r="D26" s="103">
        <f>муниц!D22+'Лен '!D22+Высокор!D23+Гост!D23+Новотр!D23+Черн!D23</f>
        <v>0</v>
      </c>
      <c r="E26" s="105">
        <f>C26+D26</f>
        <v>0</v>
      </c>
      <c r="F26" s="103">
        <f>муниц!F22+'Лен '!F22+Высокор!F23+Гост!F23+Новотр!F23+Черн!F23</f>
        <v>0</v>
      </c>
      <c r="G26" s="103">
        <f>муниц!G22+'Лен '!G22+Высокор!G23+Гост!G23+Новотр!G23+Черн!G23</f>
        <v>0</v>
      </c>
      <c r="H26" s="96">
        <f>G26+M26</f>
        <v>0</v>
      </c>
      <c r="I26" s="97">
        <f t="shared" si="1"/>
        <v>0</v>
      </c>
      <c r="J26" s="97">
        <f t="shared" si="2"/>
        <v>0</v>
      </c>
      <c r="K26" s="103">
        <f>муниц!K22+'Лен '!K22+Высокор!K23+Гост!K23+Новотр!K23+Черн!K23</f>
        <v>0</v>
      </c>
      <c r="L26" s="97">
        <f t="shared" si="3"/>
        <v>0</v>
      </c>
      <c r="M26" s="103">
        <f>муниц!M22+'Лен '!M22+Высокор!M23+Гост!M23+Новотр!M23+Черн!M23</f>
        <v>0</v>
      </c>
      <c r="N26" s="103">
        <f>муниц!N22+'Лен '!N22+Высокор!N23+Гост!N23+Новотр!N23+Черн!N23</f>
        <v>0</v>
      </c>
      <c r="O26" s="97">
        <f t="shared" si="4"/>
        <v>0</v>
      </c>
      <c r="P26" s="103">
        <f>муниц!P22+'Лен '!P22+Высокор!P23+Гост!P23+Новотр!P23+Черн!P23</f>
        <v>0</v>
      </c>
      <c r="Q26" s="103">
        <f>муниц!Q22+'Лен '!Q22+Высокор!Q23+Гост!Q23+Новотр!Q23+Черн!Q23</f>
        <v>0</v>
      </c>
      <c r="R26" s="103">
        <f>муниц!R22+'Лен '!R22+Высокор!R23+Гост!R23+Новотр!R23+Черн!R23</f>
        <v>0</v>
      </c>
      <c r="S26" s="26"/>
    </row>
    <row r="27" spans="1:19" ht="18">
      <c r="A27" s="14" t="s">
        <v>22</v>
      </c>
      <c r="B27" s="20"/>
      <c r="C27" s="107">
        <f t="shared" ref="C27:H27" si="8">C28+C34+C35+C39+C42+C43</f>
        <v>49179.144999999997</v>
      </c>
      <c r="D27" s="108">
        <f t="shared" si="8"/>
        <v>-28232.392999999996</v>
      </c>
      <c r="E27" s="108">
        <f t="shared" si="8"/>
        <v>20946.752</v>
      </c>
      <c r="F27" s="108">
        <f t="shared" si="8"/>
        <v>7948.7</v>
      </c>
      <c r="G27" s="108">
        <f t="shared" si="8"/>
        <v>19960.8</v>
      </c>
      <c r="H27" s="108">
        <f t="shared" si="8"/>
        <v>21523.200000000004</v>
      </c>
      <c r="I27" s="95">
        <f t="shared" si="1"/>
        <v>1.0275196841973402</v>
      </c>
      <c r="J27" s="95">
        <f t="shared" si="2"/>
        <v>2.7077635336595929</v>
      </c>
      <c r="K27" s="108">
        <f>K28+K34+K35+K39+K42+K43</f>
        <v>28838.400000000001</v>
      </c>
      <c r="L27" s="95">
        <f t="shared" si="3"/>
        <v>0.74633821571238357</v>
      </c>
      <c r="M27" s="108">
        <f>M28+M34+M35+M39+M42+M43</f>
        <v>1562.3999999999999</v>
      </c>
      <c r="N27" s="108">
        <f>N28+N34+N35+N39+N42+N43</f>
        <v>2329.3000000000002</v>
      </c>
      <c r="O27" s="95">
        <f t="shared" si="4"/>
        <v>0.67075945563044681</v>
      </c>
      <c r="P27" s="108">
        <f>P28+P34+P35+P39+P42+P43</f>
        <v>604.1</v>
      </c>
      <c r="Q27" s="108">
        <f>Q28+Q34+Q35+Q39+Q42+Q43</f>
        <v>943.69999999999993</v>
      </c>
      <c r="R27" s="108">
        <f>R28+R34+R35+R39+R42+R43</f>
        <v>699.1</v>
      </c>
      <c r="S27" s="26"/>
    </row>
    <row r="28" spans="1:19" ht="18">
      <c r="A28" s="9" t="s">
        <v>85</v>
      </c>
      <c r="B28" s="18">
        <v>1110000000</v>
      </c>
      <c r="C28" s="103">
        <f t="shared" ref="C28:H28" si="9">SUM(C29:C33)</f>
        <v>4123.5</v>
      </c>
      <c r="D28" s="103">
        <f t="shared" si="9"/>
        <v>1367.1890000000001</v>
      </c>
      <c r="E28" s="103">
        <f t="shared" si="9"/>
        <v>5490.6890000000003</v>
      </c>
      <c r="F28" s="103">
        <f t="shared" si="9"/>
        <v>2087.3000000000002</v>
      </c>
      <c r="G28" s="103">
        <f t="shared" si="9"/>
        <v>5145.2</v>
      </c>
      <c r="H28" s="103">
        <f t="shared" si="9"/>
        <v>5648.5999999999995</v>
      </c>
      <c r="I28" s="97">
        <f t="shared" si="1"/>
        <v>1.0287597785997349</v>
      </c>
      <c r="J28" s="97">
        <f t="shared" si="2"/>
        <v>2.7061754419585107</v>
      </c>
      <c r="K28" s="103">
        <f>SUM(K29:K33)</f>
        <v>5023.5</v>
      </c>
      <c r="L28" s="97">
        <f t="shared" si="3"/>
        <v>1.1244351547725688</v>
      </c>
      <c r="M28" s="103">
        <f>SUM(M29:M33)</f>
        <v>503.4</v>
      </c>
      <c r="N28" s="103">
        <f>SUM(N29:N33)</f>
        <v>537.5</v>
      </c>
      <c r="O28" s="97">
        <f t="shared" si="4"/>
        <v>0.93655813953488365</v>
      </c>
      <c r="P28" s="103">
        <f>SUM(P29:P33)</f>
        <v>604.1</v>
      </c>
      <c r="Q28" s="103">
        <f>SUM(Q29:Q33)</f>
        <v>943.69999999999993</v>
      </c>
      <c r="R28" s="103">
        <f>SUM(R29:R33)</f>
        <v>699.1</v>
      </c>
      <c r="S28" s="26"/>
    </row>
    <row r="29" spans="1:19" ht="0.75" customHeight="1">
      <c r="A29" s="13" t="s">
        <v>20</v>
      </c>
      <c r="B29" s="13">
        <v>1110105005</v>
      </c>
      <c r="C29" s="98">
        <f>муниц!C25</f>
        <v>0</v>
      </c>
      <c r="D29" s="98">
        <f>муниц!D25</f>
        <v>0</v>
      </c>
      <c r="E29" s="102">
        <f t="shared" ref="E29:E42" si="10">C29+D29</f>
        <v>0</v>
      </c>
      <c r="F29" s="98">
        <f>муниц!F25</f>
        <v>0</v>
      </c>
      <c r="G29" s="98">
        <f>муниц!G25</f>
        <v>0</v>
      </c>
      <c r="H29" s="100">
        <f t="shared" ref="H29:H34" si="11">G29+M29</f>
        <v>0</v>
      </c>
      <c r="I29" s="101">
        <f t="shared" si="1"/>
        <v>0</v>
      </c>
      <c r="J29" s="101">
        <f t="shared" si="2"/>
        <v>0</v>
      </c>
      <c r="K29" s="98">
        <f>муниц!K25</f>
        <v>0</v>
      </c>
      <c r="L29" s="101">
        <f t="shared" si="3"/>
        <v>0</v>
      </c>
      <c r="M29" s="98">
        <f>муниц!M25</f>
        <v>0</v>
      </c>
      <c r="N29" s="98">
        <f>муниц!N25</f>
        <v>0</v>
      </c>
      <c r="O29" s="101">
        <f t="shared" si="4"/>
        <v>0</v>
      </c>
      <c r="P29" s="98"/>
      <c r="Q29" s="98"/>
      <c r="R29" s="98"/>
      <c r="S29" s="26"/>
    </row>
    <row r="30" spans="1:19" ht="18">
      <c r="A30" s="13" t="s">
        <v>1</v>
      </c>
      <c r="B30" s="13">
        <v>1110501013</v>
      </c>
      <c r="C30" s="98">
        <f>муниц!C26+муниц!C27+'Лен '!C25+'Лен '!C26</f>
        <v>2382</v>
      </c>
      <c r="D30" s="98">
        <f>муниц!D26+муниц!D27+'Лен '!D25+Высокор!D26+Гост!D26+Новотр!D26+Черн!D26+'Лен '!D26</f>
        <v>310.69900000000001</v>
      </c>
      <c r="E30" s="102">
        <f t="shared" si="10"/>
        <v>2692.6990000000001</v>
      </c>
      <c r="F30" s="98">
        <f>муниц!F26+муниц!F27+'Лен '!F25+Высокор!F26+Гост!F26+Новотр!F26+Черн!F26</f>
        <v>900</v>
      </c>
      <c r="G30" s="98">
        <f>муниц!G26+муниц!G27+'Лен '!G25+'Лен '!G26+Новотр!G26</f>
        <v>2519.7999999999997</v>
      </c>
      <c r="H30" s="100">
        <f t="shared" si="11"/>
        <v>2747.9999999999995</v>
      </c>
      <c r="I30" s="101">
        <f t="shared" si="1"/>
        <v>1.020537386466144</v>
      </c>
      <c r="J30" s="101">
        <f t="shared" si="2"/>
        <v>3.0533333333333328</v>
      </c>
      <c r="K30" s="98">
        <f>муниц!K26+муниц!K27+'Лен '!K25+'Лен '!K26</f>
        <v>2161.1</v>
      </c>
      <c r="L30" s="101">
        <f t="shared" si="3"/>
        <v>1.2715746610522418</v>
      </c>
      <c r="M30" s="98">
        <f>муниц!M26+муниц!M27+'Лен '!M25+'Лен '!M26+Новотр!M26</f>
        <v>228.20000000000002</v>
      </c>
      <c r="N30" s="98">
        <f>муниц!N26+муниц!N27+'Лен '!N25+'Лен '!N26</f>
        <v>221.20000000000002</v>
      </c>
      <c r="O30" s="101">
        <f t="shared" si="4"/>
        <v>1.0316455696202531</v>
      </c>
      <c r="P30" s="98">
        <f>муниц!P26+муниц!P27+'Лен '!P25+Высокор!P26+Гост!P26+Новотр!P26+Черн!P26</f>
        <v>443.1</v>
      </c>
      <c r="Q30" s="98">
        <f>муниц!Q26+муниц!Q27+'Лен '!Q25+Высокор!Q26+Гост!Q26+Новотр!Q26+Черн!Q26</f>
        <v>848.69999999999993</v>
      </c>
      <c r="R30" s="98">
        <f>муниц!R26+муниц!R27+'Лен '!R25+Высокор!R26+Гост!R26+Новотр!R26+Черн!R26</f>
        <v>638.6</v>
      </c>
      <c r="S30" s="26"/>
    </row>
    <row r="31" spans="1:19" ht="18">
      <c r="A31" s="13" t="s">
        <v>17</v>
      </c>
      <c r="B31" s="13">
        <v>1110503510</v>
      </c>
      <c r="C31" s="98">
        <f>муниц!C28</f>
        <v>600</v>
      </c>
      <c r="D31" s="98">
        <f>муниц!D28</f>
        <v>100</v>
      </c>
      <c r="E31" s="102">
        <f t="shared" si="10"/>
        <v>700</v>
      </c>
      <c r="F31" s="98">
        <f>муниц!F28</f>
        <v>1187.3</v>
      </c>
      <c r="G31" s="98">
        <f>муниц!G28</f>
        <v>613.79999999999995</v>
      </c>
      <c r="H31" s="100">
        <f t="shared" si="11"/>
        <v>729.9</v>
      </c>
      <c r="I31" s="101">
        <f t="shared" si="1"/>
        <v>1.0427142857142857</v>
      </c>
      <c r="J31" s="101">
        <f t="shared" si="2"/>
        <v>0.61475616946011957</v>
      </c>
      <c r="K31" s="98">
        <f>муниц!K28</f>
        <v>751.7</v>
      </c>
      <c r="L31" s="101">
        <f t="shared" si="3"/>
        <v>0.97099906877743769</v>
      </c>
      <c r="M31" s="98">
        <f>муниц!M28</f>
        <v>116.1</v>
      </c>
      <c r="N31" s="98">
        <f>муниц!N28</f>
        <v>68.2</v>
      </c>
      <c r="O31" s="101">
        <f t="shared" si="4"/>
        <v>1.7023460410557183</v>
      </c>
      <c r="P31" s="98">
        <f>муниц!P28+Новотр!P27</f>
        <v>161</v>
      </c>
      <c r="Q31" s="98">
        <f>муниц!Q28</f>
        <v>95</v>
      </c>
      <c r="R31" s="98">
        <f>муниц!R28</f>
        <v>60.5</v>
      </c>
      <c r="S31" s="26"/>
    </row>
    <row r="32" spans="1:19" ht="18">
      <c r="A32" s="13" t="s">
        <v>110</v>
      </c>
      <c r="B32" s="13">
        <v>1110507500</v>
      </c>
      <c r="C32" s="98">
        <f>'Лен '!C27+муниц!C29+Высокор!C26</f>
        <v>423.5</v>
      </c>
      <c r="D32" s="98">
        <f>'Лен '!D27+муниц!D29</f>
        <v>978.7</v>
      </c>
      <c r="E32" s="99">
        <f t="shared" si="10"/>
        <v>1402.2</v>
      </c>
      <c r="F32" s="98">
        <f>'Лен '!F29+Гост!F27</f>
        <v>0</v>
      </c>
      <c r="G32" s="98">
        <f>'Лен '!G27+муниц!G29+Высокор!G26</f>
        <v>1372.7999999999997</v>
      </c>
      <c r="H32" s="100">
        <f t="shared" si="11"/>
        <v>1463.8999999999996</v>
      </c>
      <c r="I32" s="101">
        <f t="shared" si="1"/>
        <v>1.0440022821280841</v>
      </c>
      <c r="J32" s="101">
        <f t="shared" si="2"/>
        <v>0</v>
      </c>
      <c r="K32" s="98">
        <f>'Лен '!K27+муниц!K29</f>
        <v>1366.3000000000002</v>
      </c>
      <c r="L32" s="101">
        <f t="shared" si="3"/>
        <v>1.0714337993120102</v>
      </c>
      <c r="M32" s="98">
        <f>'Лен '!M27+муниц!M29+Высокор!M26</f>
        <v>91.1</v>
      </c>
      <c r="N32" s="98">
        <f>'Лен '!N27+муниц!N29</f>
        <v>159</v>
      </c>
      <c r="O32" s="101">
        <f t="shared" si="4"/>
        <v>0.57295597484276728</v>
      </c>
      <c r="P32" s="109"/>
      <c r="Q32" s="109"/>
      <c r="R32" s="109"/>
      <c r="S32" s="26"/>
    </row>
    <row r="33" spans="1:19" ht="18">
      <c r="A33" s="13" t="s">
        <v>23</v>
      </c>
      <c r="B33" s="13">
        <v>1110904505</v>
      </c>
      <c r="C33" s="98">
        <f>муниц!C30+'Лен '!C28+Высокор!C27+Гост!C28+Новотр!C27+Черн!C27</f>
        <v>718</v>
      </c>
      <c r="D33" s="98">
        <f>муниц!D30+'Лен '!D28+Высокор!D27+Гост!D28+Новотр!D27+Черн!D27</f>
        <v>-22.210000000000072</v>
      </c>
      <c r="E33" s="119">
        <f t="shared" si="10"/>
        <v>695.79</v>
      </c>
      <c r="F33" s="98">
        <f>муниц!F30+'Лен '!F28+Высокор!F27+Гост!F28+Новотр!F27+Черн!F27</f>
        <v>0</v>
      </c>
      <c r="G33" s="98">
        <f>муниц!G30+'Лен '!G28+Высокор!G27+Гост!G28+Новотр!G27+Черн!G27</f>
        <v>638.79999999999995</v>
      </c>
      <c r="H33" s="100">
        <f t="shared" si="11"/>
        <v>706.8</v>
      </c>
      <c r="I33" s="101">
        <f t="shared" si="1"/>
        <v>1.015823739921528</v>
      </c>
      <c r="J33" s="101">
        <f t="shared" si="2"/>
        <v>0</v>
      </c>
      <c r="K33" s="98">
        <f>муниц!K30+'Лен '!K28+Высокор!K27+Гост!K28+Новотр!K27+Черн!K27</f>
        <v>744.4</v>
      </c>
      <c r="L33" s="101">
        <f t="shared" si="3"/>
        <v>0.94948952176249324</v>
      </c>
      <c r="M33" s="98">
        <f>муниц!M30+'Лен '!M28+Высокор!M27+Гост!M28+Новотр!M27+Черн!M27</f>
        <v>68</v>
      </c>
      <c r="N33" s="98">
        <f>муниц!N30+'Лен '!N28+Высокор!N27+Гост!N28+Новотр!N27+Черн!N27</f>
        <v>89.100000000000009</v>
      </c>
      <c r="O33" s="101">
        <f t="shared" si="4"/>
        <v>0.76318742985409649</v>
      </c>
      <c r="P33" s="109">
        <f>'Лен '!P28</f>
        <v>0</v>
      </c>
      <c r="Q33" s="109">
        <f>'Лен '!Q28+Новотр!Q27</f>
        <v>0</v>
      </c>
      <c r="R33" s="109">
        <f>'Лен '!R28</f>
        <v>0</v>
      </c>
      <c r="S33" s="26"/>
    </row>
    <row r="34" spans="1:19" ht="18">
      <c r="A34" s="9" t="s">
        <v>81</v>
      </c>
      <c r="B34" s="18">
        <v>1120000000</v>
      </c>
      <c r="C34" s="103">
        <f>муниц!C31</f>
        <v>24.2</v>
      </c>
      <c r="D34" s="103">
        <f>муниц!D31</f>
        <v>44.4</v>
      </c>
      <c r="E34" s="105">
        <f t="shared" si="10"/>
        <v>68.599999999999994</v>
      </c>
      <c r="F34" s="103">
        <f>муниц!F31</f>
        <v>75</v>
      </c>
      <c r="G34" s="103">
        <f>муниц!G31</f>
        <v>68.7</v>
      </c>
      <c r="H34" s="96">
        <f t="shared" si="11"/>
        <v>68.8</v>
      </c>
      <c r="I34" s="97">
        <f t="shared" si="1"/>
        <v>1.0029154518950438</v>
      </c>
      <c r="J34" s="97">
        <f t="shared" si="2"/>
        <v>0.91733333333333333</v>
      </c>
      <c r="K34" s="103">
        <f>муниц!K31</f>
        <v>26.5</v>
      </c>
      <c r="L34" s="97">
        <f t="shared" si="3"/>
        <v>2.5962264150943395</v>
      </c>
      <c r="M34" s="103">
        <f>муниц!M31</f>
        <v>0.1</v>
      </c>
      <c r="N34" s="103">
        <f>муниц!N31</f>
        <v>0</v>
      </c>
      <c r="O34" s="97">
        <f t="shared" si="4"/>
        <v>0</v>
      </c>
      <c r="P34" s="96"/>
      <c r="Q34" s="106"/>
      <c r="R34" s="106"/>
      <c r="S34" s="26"/>
    </row>
    <row r="35" spans="1:19" ht="18">
      <c r="A35" s="9" t="s">
        <v>66</v>
      </c>
      <c r="B35" s="18">
        <v>1130000000</v>
      </c>
      <c r="C35" s="103">
        <f t="shared" ref="C35:H35" si="12">SUM(C36:C38)</f>
        <v>9447</v>
      </c>
      <c r="D35" s="103">
        <f t="shared" si="12"/>
        <v>-1261.848</v>
      </c>
      <c r="E35" s="104">
        <f t="shared" si="12"/>
        <v>8185.152</v>
      </c>
      <c r="F35" s="103">
        <f t="shared" si="12"/>
        <v>5703.4</v>
      </c>
      <c r="G35" s="103">
        <f t="shared" si="12"/>
        <v>7158.2</v>
      </c>
      <c r="H35" s="103">
        <f t="shared" si="12"/>
        <v>8295.7000000000007</v>
      </c>
      <c r="I35" s="97">
        <f t="shared" si="1"/>
        <v>1.0135059190104228</v>
      </c>
      <c r="J35" s="97">
        <f t="shared" si="2"/>
        <v>1.4545183574709823</v>
      </c>
      <c r="K35" s="103">
        <f>SUM(K36:K38)</f>
        <v>8331.7999999999993</v>
      </c>
      <c r="L35" s="97">
        <f t="shared" si="3"/>
        <v>0.99566720276530896</v>
      </c>
      <c r="M35" s="103">
        <f>SUM(M36:M38)</f>
        <v>1137.5</v>
      </c>
      <c r="N35" s="103">
        <f>SUM(N36:N38)</f>
        <v>1075</v>
      </c>
      <c r="O35" s="97">
        <f t="shared" si="4"/>
        <v>1.058139534883721</v>
      </c>
      <c r="P35" s="103">
        <f>SUM(P36:P38)</f>
        <v>0</v>
      </c>
      <c r="Q35" s="103">
        <f>SUM(Q36:Q38)</f>
        <v>0</v>
      </c>
      <c r="R35" s="103">
        <f>SUM(R36:R38)</f>
        <v>0</v>
      </c>
      <c r="S35" s="26"/>
    </row>
    <row r="36" spans="1:19" ht="18">
      <c r="A36" s="15" t="s">
        <v>34</v>
      </c>
      <c r="B36" s="22">
        <v>1130199500</v>
      </c>
      <c r="C36" s="110">
        <f>муниц!C33</f>
        <v>7890</v>
      </c>
      <c r="D36" s="110">
        <f>муниц!D33</f>
        <v>-1291.2</v>
      </c>
      <c r="E36" s="102">
        <f t="shared" si="10"/>
        <v>6598.8</v>
      </c>
      <c r="F36" s="110">
        <f>муниц!F33</f>
        <v>5203.3999999999996</v>
      </c>
      <c r="G36" s="110">
        <f>муниц!G33</f>
        <v>5917.6</v>
      </c>
      <c r="H36" s="100">
        <f>G36+M36</f>
        <v>6617.2000000000007</v>
      </c>
      <c r="I36" s="101">
        <f>IF(E36&gt;0,H36/E36,0)</f>
        <v>1.0027883857671092</v>
      </c>
      <c r="J36" s="101">
        <f>IF(F36&gt;0,H36/F36,0)</f>
        <v>1.2717069608333016</v>
      </c>
      <c r="K36" s="110">
        <f>муниц!K33</f>
        <v>6087.4</v>
      </c>
      <c r="L36" s="101">
        <f t="shared" si="3"/>
        <v>1.0870322305089202</v>
      </c>
      <c r="M36" s="110">
        <f>муниц!M33</f>
        <v>699.6</v>
      </c>
      <c r="N36" s="110">
        <f>муниц!N33</f>
        <v>625.20000000000005</v>
      </c>
      <c r="O36" s="101">
        <f t="shared" si="4"/>
        <v>1.1190019193857965</v>
      </c>
      <c r="P36" s="111"/>
      <c r="Q36" s="112"/>
      <c r="R36" s="112"/>
      <c r="S36" s="26"/>
    </row>
    <row r="37" spans="1:19" ht="18">
      <c r="A37" s="15" t="s">
        <v>35</v>
      </c>
      <c r="B37" s="22">
        <v>1130206500</v>
      </c>
      <c r="C37" s="110">
        <f>муниц!C34+'Лен '!C31</f>
        <v>507</v>
      </c>
      <c r="D37" s="110">
        <f>муниц!D34+'Лен '!D31</f>
        <v>-30</v>
      </c>
      <c r="E37" s="119">
        <f t="shared" si="10"/>
        <v>477</v>
      </c>
      <c r="F37" s="110">
        <f>муниц!F34</f>
        <v>500</v>
      </c>
      <c r="G37" s="110">
        <f>муниц!G34+'Лен '!G31</f>
        <v>362.4</v>
      </c>
      <c r="H37" s="100">
        <f>G37+M37</f>
        <v>507.19999999999993</v>
      </c>
      <c r="I37" s="101">
        <f>IF(E37&gt;0,H37/E37,0)</f>
        <v>1.0633123689727462</v>
      </c>
      <c r="J37" s="101">
        <f>IF(F37&gt;0,H37/F37,0)</f>
        <v>1.0144</v>
      </c>
      <c r="K37" s="110">
        <f>муниц!K34+'Лен '!K31</f>
        <v>484.6</v>
      </c>
      <c r="L37" s="101">
        <f t="shared" si="3"/>
        <v>1.046636401155592</v>
      </c>
      <c r="M37" s="110">
        <f>муниц!M34+'Лен '!M31</f>
        <v>144.79999999999998</v>
      </c>
      <c r="N37" s="110">
        <f>муниц!N34+'Лен '!N31</f>
        <v>136.70000000000002</v>
      </c>
      <c r="O37" s="101">
        <f t="shared" si="4"/>
        <v>1.0592538405267005</v>
      </c>
      <c r="P37" s="111"/>
      <c r="Q37" s="112"/>
      <c r="R37" s="112"/>
      <c r="S37" s="26"/>
    </row>
    <row r="38" spans="1:19" ht="18">
      <c r="A38" s="15" t="s">
        <v>38</v>
      </c>
      <c r="B38" s="22">
        <v>1130299510</v>
      </c>
      <c r="C38" s="110">
        <f>муниц!C35+'Лен '!C32+Высокор!C28+Гост!C29+Новотр!C28+Черн!C28</f>
        <v>1050</v>
      </c>
      <c r="D38" s="155">
        <f>муниц!D35+'Лен '!D32+Высокор!D28+Гост!D29+Новотр!D28+Черн!D28</f>
        <v>59.351999999999975</v>
      </c>
      <c r="E38" s="119">
        <f t="shared" si="10"/>
        <v>1109.3519999999999</v>
      </c>
      <c r="F38" s="110">
        <f>муниц!F35+'Лен '!F32+Высокор!F28+Гост!F29+Новотр!F28+Черн!F28</f>
        <v>0</v>
      </c>
      <c r="G38" s="110">
        <f>муниц!G35+'Лен '!G32+Высокор!G28+Гост!G29+Новотр!G28+Черн!G28</f>
        <v>878.19999999999993</v>
      </c>
      <c r="H38" s="100">
        <f>G38+M38</f>
        <v>1171.3</v>
      </c>
      <c r="I38" s="101">
        <f>IF(E38&gt;0,H38/E38,0)</f>
        <v>1.0558416084344735</v>
      </c>
      <c r="J38" s="101">
        <f>IF(F38&gt;0,H38/F38,0)</f>
        <v>0</v>
      </c>
      <c r="K38" s="110">
        <f>муниц!K35+'Лен '!K32+Высокор!K28+Гост!K29+Новотр!K28+Черн!K28</f>
        <v>1759.7999999999997</v>
      </c>
      <c r="L38" s="101">
        <f t="shared" si="3"/>
        <v>0.66558699852255943</v>
      </c>
      <c r="M38" s="110">
        <f>муниц!M35+'Лен '!M32+Высокор!M28+Гост!M29+Новотр!M28+Черн!M28</f>
        <v>293.10000000000002</v>
      </c>
      <c r="N38" s="110">
        <f>муниц!N35+'Лен '!N32+Высокор!N28+Гост!N29+Новотр!N28+Черн!N28</f>
        <v>313.10000000000002</v>
      </c>
      <c r="O38" s="101">
        <f t="shared" si="4"/>
        <v>0.93612264452251681</v>
      </c>
      <c r="P38" s="111"/>
      <c r="Q38" s="112"/>
      <c r="R38" s="112"/>
      <c r="S38" s="26"/>
    </row>
    <row r="39" spans="1:19" ht="18">
      <c r="A39" s="9" t="s">
        <v>86</v>
      </c>
      <c r="B39" s="18">
        <v>1140000000</v>
      </c>
      <c r="C39" s="103">
        <f t="shared" ref="C39:H39" si="13">SUM(C40:C41)</f>
        <v>34920.065000000002</v>
      </c>
      <c r="D39" s="103">
        <f t="shared" si="13"/>
        <v>-30461.909</v>
      </c>
      <c r="E39" s="103">
        <f t="shared" si="13"/>
        <v>4458.1560000000018</v>
      </c>
      <c r="F39" s="103">
        <f t="shared" si="13"/>
        <v>0</v>
      </c>
      <c r="G39" s="103">
        <f t="shared" si="13"/>
        <v>4756.2</v>
      </c>
      <c r="H39" s="103">
        <f t="shared" si="13"/>
        <v>4504.3</v>
      </c>
      <c r="I39" s="97">
        <f t="shared" si="1"/>
        <v>1.0103504677718766</v>
      </c>
      <c r="J39" s="97">
        <f t="shared" si="2"/>
        <v>0</v>
      </c>
      <c r="K39" s="103">
        <f>SUM(K40:K41)</f>
        <v>11515.900000000001</v>
      </c>
      <c r="L39" s="97">
        <f t="shared" si="3"/>
        <v>0.39113747080124001</v>
      </c>
      <c r="M39" s="103">
        <f>SUM(M40:M41)</f>
        <v>-251.9</v>
      </c>
      <c r="N39" s="103">
        <f>SUM(N40:N41)</f>
        <v>156.1</v>
      </c>
      <c r="O39" s="97">
        <f t="shared" si="4"/>
        <v>-1.6137091607943628</v>
      </c>
      <c r="P39" s="106"/>
      <c r="Q39" s="106"/>
      <c r="R39" s="106"/>
      <c r="S39" s="26"/>
    </row>
    <row r="40" spans="1:19" ht="18">
      <c r="A40" s="13" t="s">
        <v>31</v>
      </c>
      <c r="B40" s="13">
        <v>1140205200</v>
      </c>
      <c r="C40" s="110">
        <f>муниц!C37+'Лен '!C34+Высокор!C29+Гост!C30+Новотр!C30+Черн!C29</f>
        <v>34385.065000000002</v>
      </c>
      <c r="D40" s="110">
        <f>муниц!D37+'Лен '!D34+Высокор!D29+Гост!D30+Новотр!D30+Черн!D29</f>
        <v>-30119.306</v>
      </c>
      <c r="E40" s="102">
        <f t="shared" si="10"/>
        <v>4265.7590000000018</v>
      </c>
      <c r="F40" s="110">
        <f>муниц!F37+'Лен '!F34+Высокор!F29+Гост!F30+Новотр!F30+Черн!F29</f>
        <v>0</v>
      </c>
      <c r="G40" s="110">
        <f>муниц!G37+'Лен '!G34+Высокор!G29+Гост!G30+Новотр!G30+Черн!G29</f>
        <v>4265.8999999999996</v>
      </c>
      <c r="H40" s="100">
        <f>G40+M40</f>
        <v>4277.5</v>
      </c>
      <c r="I40" s="101">
        <f t="shared" si="1"/>
        <v>1.0027523824013496</v>
      </c>
      <c r="J40" s="101">
        <f t="shared" si="2"/>
        <v>0</v>
      </c>
      <c r="K40" s="110">
        <f>муниц!K37+'Лен '!K34+Высокор!K29+Гост!K30+Новотр!K30+Черн!K29</f>
        <v>8365.1</v>
      </c>
      <c r="L40" s="101">
        <f t="shared" si="3"/>
        <v>0.51135073101337702</v>
      </c>
      <c r="M40" s="110">
        <f>муниц!M37+'Лен '!M34+Высокор!M29+Гост!M30+Новотр!M30+Черн!M29</f>
        <v>11.6</v>
      </c>
      <c r="N40" s="110">
        <f>муниц!N37+'Лен '!N34+Высокор!N29+Гост!N30+Новотр!N30+Черн!N29</f>
        <v>4</v>
      </c>
      <c r="O40" s="101">
        <f t="shared" si="4"/>
        <v>2.9</v>
      </c>
      <c r="P40" s="112"/>
      <c r="Q40" s="112"/>
      <c r="R40" s="112"/>
      <c r="S40" s="26"/>
    </row>
    <row r="41" spans="1:19" ht="18">
      <c r="A41" s="13" t="s">
        <v>32</v>
      </c>
      <c r="B41" s="13">
        <v>1140600000</v>
      </c>
      <c r="C41" s="110">
        <f>муниц!C38+'Лен '!C35+Высокор!C30+Гост!C31+Новотр!C29+Черн!C30+'Лен '!C36</f>
        <v>535</v>
      </c>
      <c r="D41" s="110">
        <f>муниц!D38+'Лен '!D35+Высокор!D30+Гост!D31+Новотр!D29+Черн!D30+'Лен '!D36</f>
        <v>-342.60300000000001</v>
      </c>
      <c r="E41" s="102">
        <f t="shared" si="10"/>
        <v>192.39699999999999</v>
      </c>
      <c r="F41" s="110">
        <f>муниц!F38+'Лен '!F35+Высокор!F30+Гост!F31+Новотр!F29+Черн!F30</f>
        <v>0</v>
      </c>
      <c r="G41" s="110">
        <f>муниц!G38+'Лен '!G35+Высокор!G30+Гост!G31+Новотр!G29+Черн!G30+'Лен '!G36</f>
        <v>490.29999999999995</v>
      </c>
      <c r="H41" s="100">
        <f>G41+M41</f>
        <v>226.79999999999995</v>
      </c>
      <c r="I41" s="101">
        <f t="shared" si="1"/>
        <v>1.1788125594473924</v>
      </c>
      <c r="J41" s="101">
        <f t="shared" si="2"/>
        <v>0</v>
      </c>
      <c r="K41" s="110">
        <f>муниц!K38+'Лен '!K35+Высокор!K30+Гост!K31+Новотр!K29+Черн!K30+'Лен '!K36</f>
        <v>3150.8</v>
      </c>
      <c r="L41" s="101">
        <f t="shared" si="3"/>
        <v>7.1981718928526076E-2</v>
      </c>
      <c r="M41" s="110">
        <f>муниц!M38+'Лен '!M35+Высокор!M30+Гост!M31+Новотр!M29+Черн!M30+'Лен '!M36</f>
        <v>-263.5</v>
      </c>
      <c r="N41" s="110">
        <f>муниц!N38+'Лен '!N35+Высокор!N30+Гост!N31+Новотр!N29+Черн!N30+'Лен '!N36</f>
        <v>152.1</v>
      </c>
      <c r="O41" s="101">
        <f t="shared" si="4"/>
        <v>-1.7324128862590402</v>
      </c>
      <c r="P41" s="112"/>
      <c r="Q41" s="112"/>
      <c r="R41" s="112"/>
      <c r="S41" s="26"/>
    </row>
    <row r="42" spans="1:19" ht="18">
      <c r="A42" s="9" t="s">
        <v>87</v>
      </c>
      <c r="B42" s="18">
        <v>1160000000</v>
      </c>
      <c r="C42" s="103">
        <f>муниц!C39+'Лен '!C37+Высокор!C31+Гост!C32+Новотр!C31+Черн!C31</f>
        <v>65.099999999999994</v>
      </c>
      <c r="D42" s="103">
        <f>муниц!D39+'Лен '!D37+Высокор!D31+Гост!D32+Новотр!D31+Черн!D31</f>
        <v>1434.5</v>
      </c>
      <c r="E42" s="105">
        <f t="shared" si="10"/>
        <v>1499.6</v>
      </c>
      <c r="F42" s="103">
        <f>муниц!F39+'Лен '!F37+Высокор!F31+Гост!F32+Новотр!F31+Черн!F31</f>
        <v>83</v>
      </c>
      <c r="G42" s="103">
        <f>муниц!G39+'Лен '!G37+Высокор!G31+Гост!G32+Новотр!G31+Черн!G31</f>
        <v>1503.8999999999999</v>
      </c>
      <c r="H42" s="96">
        <f>G42+M42</f>
        <v>1675.8999999999999</v>
      </c>
      <c r="I42" s="97">
        <f t="shared" si="1"/>
        <v>1.1175646839157107</v>
      </c>
      <c r="J42" s="97">
        <f t="shared" si="2"/>
        <v>20.191566265060239</v>
      </c>
      <c r="K42" s="103">
        <f>муниц!K39+'Лен '!K37+Высокор!K31+Гост!K32+Новотр!K31+Черн!K31</f>
        <v>3453.9</v>
      </c>
      <c r="L42" s="97">
        <f t="shared" si="3"/>
        <v>0.48521960682127446</v>
      </c>
      <c r="M42" s="103">
        <f>муниц!M39+'Лен '!M37+Высокор!M31+Гост!M32+Новотр!M31+Черн!M31</f>
        <v>172</v>
      </c>
      <c r="N42" s="103">
        <f>муниц!N39+'Лен '!N37+Высокор!N31+Гост!N32+Новотр!N31+Черн!N31</f>
        <v>559.4</v>
      </c>
      <c r="O42" s="97">
        <f t="shared" si="4"/>
        <v>0.30747229174115126</v>
      </c>
      <c r="P42" s="106"/>
      <c r="Q42" s="106"/>
      <c r="R42" s="106"/>
      <c r="S42" s="26"/>
    </row>
    <row r="43" spans="1:19" ht="18">
      <c r="A43" s="9" t="s">
        <v>88</v>
      </c>
      <c r="B43" s="18">
        <v>1170000000</v>
      </c>
      <c r="C43" s="103">
        <f t="shared" ref="C43:H43" si="14">SUM(C44:C46)</f>
        <v>599.28</v>
      </c>
      <c r="D43" s="103">
        <f t="shared" si="14"/>
        <v>645.27500000000009</v>
      </c>
      <c r="E43" s="103">
        <f t="shared" si="14"/>
        <v>1244.5550000000001</v>
      </c>
      <c r="F43" s="103">
        <f t="shared" si="14"/>
        <v>0</v>
      </c>
      <c r="G43" s="103">
        <f t="shared" si="14"/>
        <v>1328.6</v>
      </c>
      <c r="H43" s="103">
        <f t="shared" si="14"/>
        <v>1329.9</v>
      </c>
      <c r="I43" s="97">
        <f t="shared" si="1"/>
        <v>1.0685747114430459</v>
      </c>
      <c r="J43" s="97">
        <f t="shared" si="2"/>
        <v>0</v>
      </c>
      <c r="K43" s="103">
        <f>SUM(K44:K46)</f>
        <v>486.8</v>
      </c>
      <c r="L43" s="97">
        <f t="shared" si="3"/>
        <v>2.7319227608874281</v>
      </c>
      <c r="M43" s="103">
        <f>SUM(M44:M46)</f>
        <v>1.3</v>
      </c>
      <c r="N43" s="103">
        <f>SUM(N44:N46)</f>
        <v>1.3000000000000003</v>
      </c>
      <c r="O43" s="97">
        <f t="shared" si="4"/>
        <v>0.99999999999999978</v>
      </c>
      <c r="P43" s="103">
        <f>SUM(P44:P45)</f>
        <v>0</v>
      </c>
      <c r="Q43" s="103">
        <f>SUM(Q44:Q45)</f>
        <v>0</v>
      </c>
      <c r="R43" s="103">
        <f>SUM(R44:R45)</f>
        <v>0</v>
      </c>
      <c r="S43" s="26"/>
    </row>
    <row r="44" spans="1:19" ht="18">
      <c r="A44" s="13" t="s">
        <v>8</v>
      </c>
      <c r="B44" s="13">
        <v>1170105005</v>
      </c>
      <c r="C44" s="98"/>
      <c r="D44" s="98"/>
      <c r="E44" s="102">
        <f>C44+D44</f>
        <v>0</v>
      </c>
      <c r="F44" s="98"/>
      <c r="G44" s="98">
        <f>муниц!G41+'Лен '!G39+Высокор!G33+Гост!G34+Новотр!G33+Черн!G33</f>
        <v>3.7</v>
      </c>
      <c r="H44" s="100">
        <f>G44+M44</f>
        <v>4.7</v>
      </c>
      <c r="I44" s="101">
        <f t="shared" si="1"/>
        <v>0</v>
      </c>
      <c r="J44" s="101">
        <f t="shared" si="2"/>
        <v>0</v>
      </c>
      <c r="K44" s="98">
        <f>муниц!K41+'Лен '!K39+Высокор!K33+Гост!K34+Новотр!K33+Черн!K33</f>
        <v>0.1</v>
      </c>
      <c r="L44" s="101">
        <f t="shared" si="3"/>
        <v>47</v>
      </c>
      <c r="M44" s="98">
        <f>муниц!M41+'Лен '!M39+Высокор!M33+Гост!M34+Новотр!M33+Черн!M33</f>
        <v>1</v>
      </c>
      <c r="N44" s="98">
        <f>муниц!N41+'Лен '!N39+Высокор!N33+Гост!N34+Новотр!N33+Черн!N33</f>
        <v>0.1</v>
      </c>
      <c r="O44" s="101">
        <f t="shared" si="4"/>
        <v>10</v>
      </c>
      <c r="P44" s="101"/>
      <c r="Q44" s="109"/>
      <c r="R44" s="109"/>
      <c r="S44" s="26"/>
    </row>
    <row r="45" spans="1:19" ht="18">
      <c r="A45" s="13" t="s">
        <v>14</v>
      </c>
      <c r="B45" s="13">
        <v>1170505005</v>
      </c>
      <c r="C45" s="98">
        <f>муниц!C42+'Лен '!C40+Высокор!C34+Гост!C35+Новотр!C34+Черн!C34</f>
        <v>0</v>
      </c>
      <c r="D45" s="98">
        <f>муниц!D42+'Лен '!D40+Высокор!D34+Гост!D35+Новотр!D34+Черн!D34</f>
        <v>0.95000000000000007</v>
      </c>
      <c r="E45" s="102">
        <f>C45+D45</f>
        <v>0.95000000000000007</v>
      </c>
      <c r="F45" s="98">
        <f>муниц!F42+'Лен '!F40+Высокор!F34+Гост!F35+Новотр!F34+Черн!F34</f>
        <v>0</v>
      </c>
      <c r="G45" s="98">
        <f>муниц!G42+'Лен '!G40+Высокор!G34+Гост!G35+Новотр!G34+Черн!G34</f>
        <v>1.4</v>
      </c>
      <c r="H45" s="100">
        <f>G45+M45</f>
        <v>1.7</v>
      </c>
      <c r="I45" s="101">
        <f t="shared" si="1"/>
        <v>1.7894736842105261</v>
      </c>
      <c r="J45" s="101">
        <f t="shared" si="2"/>
        <v>0</v>
      </c>
      <c r="K45" s="98">
        <f>муниц!K42+'Лен '!K40+Высокор!K34+Гост!K35+Новотр!K34+Черн!K34</f>
        <v>2.5</v>
      </c>
      <c r="L45" s="101">
        <f t="shared" si="3"/>
        <v>0.67999999999999994</v>
      </c>
      <c r="M45" s="98">
        <f>муниц!M42+'Лен '!M40+Высокор!M34+Гост!M35+Новотр!M34+Черн!M34</f>
        <v>0.30000000000000004</v>
      </c>
      <c r="N45" s="98">
        <f>муниц!N42+'Лен '!N40+Высокор!N34+Гост!N35+Новотр!N34+Черн!N34</f>
        <v>1.2000000000000002</v>
      </c>
      <c r="O45" s="101">
        <f t="shared" si="4"/>
        <v>0.25</v>
      </c>
      <c r="P45" s="98"/>
      <c r="Q45" s="98"/>
      <c r="R45" s="98"/>
      <c r="S45" s="26"/>
    </row>
    <row r="46" spans="1:19" ht="18">
      <c r="A46" s="45" t="s">
        <v>119</v>
      </c>
      <c r="B46" s="179">
        <v>1171503005</v>
      </c>
      <c r="C46" s="98">
        <f>муниц!C43+'Лен '!C41</f>
        <v>599.28</v>
      </c>
      <c r="D46" s="98">
        <f>муниц!D43+'Лен '!D41</f>
        <v>644.32500000000005</v>
      </c>
      <c r="E46" s="102">
        <f>C46+D46</f>
        <v>1243.605</v>
      </c>
      <c r="F46" s="98"/>
      <c r="G46" s="98">
        <f>муниц!G43+'Лен '!G41</f>
        <v>1323.5</v>
      </c>
      <c r="H46" s="100">
        <f>G46+M46</f>
        <v>1323.5</v>
      </c>
      <c r="I46" s="101">
        <f t="shared" si="1"/>
        <v>1.0642446757611943</v>
      </c>
      <c r="J46" s="101"/>
      <c r="K46" s="98">
        <f>муниц!K43+'Лен '!K41</f>
        <v>484.2</v>
      </c>
      <c r="L46" s="101">
        <f t="shared" si="3"/>
        <v>2.7333746385790998</v>
      </c>
      <c r="M46" s="98">
        <f>муниц!M43+'Лен '!M41</f>
        <v>0</v>
      </c>
      <c r="N46" s="98">
        <f>муниц!N43+'Лен '!N41</f>
        <v>0</v>
      </c>
      <c r="O46" s="101">
        <f t="shared" si="4"/>
        <v>0</v>
      </c>
      <c r="P46" s="98"/>
      <c r="Q46" s="98"/>
      <c r="R46" s="98"/>
      <c r="S46" s="26"/>
    </row>
    <row r="47" spans="1:19" ht="18">
      <c r="A47" s="16" t="s">
        <v>6</v>
      </c>
      <c r="B47" s="23">
        <v>1000000000</v>
      </c>
      <c r="C47" s="113">
        <f t="shared" ref="C47:H47" si="15">C5+C27</f>
        <v>131255.245</v>
      </c>
      <c r="D47" s="113">
        <f t="shared" si="15"/>
        <v>-10601.042999999998</v>
      </c>
      <c r="E47" s="181">
        <f t="shared" si="15"/>
        <v>120654.20200000002</v>
      </c>
      <c r="F47" s="115" t="e">
        <f t="shared" si="15"/>
        <v>#REF!</v>
      </c>
      <c r="G47" s="116">
        <f t="shared" si="15"/>
        <v>112242.3</v>
      </c>
      <c r="H47" s="116">
        <f t="shared" si="15"/>
        <v>124254.1</v>
      </c>
      <c r="I47" s="117">
        <f t="shared" si="1"/>
        <v>1.0298364908998361</v>
      </c>
      <c r="J47" s="117" t="e">
        <f t="shared" si="2"/>
        <v>#REF!</v>
      </c>
      <c r="K47" s="114">
        <f>K5+K27</f>
        <v>115556.9</v>
      </c>
      <c r="L47" s="117">
        <f t="shared" si="3"/>
        <v>1.0752633551090416</v>
      </c>
      <c r="M47" s="116">
        <f>M5+M27</f>
        <v>12011.800000000001</v>
      </c>
      <c r="N47" s="116">
        <f>N5+N27</f>
        <v>8885.4000000000015</v>
      </c>
      <c r="O47" s="117">
        <f t="shared" si="4"/>
        <v>1.3518581043059399</v>
      </c>
      <c r="P47" s="114">
        <f>P5+P27</f>
        <v>1276.9000000000001</v>
      </c>
      <c r="Q47" s="114">
        <f>Q5+Q27</f>
        <v>1745.9</v>
      </c>
      <c r="R47" s="114">
        <f>R5+R27</f>
        <v>1809.6</v>
      </c>
      <c r="S47" s="26"/>
    </row>
    <row r="48" spans="1:19" ht="18">
      <c r="A48" s="13" t="s">
        <v>36</v>
      </c>
      <c r="B48" s="21">
        <v>2000000000</v>
      </c>
      <c r="C48" s="118">
        <f>муниц!C46+1500+0.4+18240+510.3+4042.25</f>
        <v>372527.07</v>
      </c>
      <c r="D48" s="118">
        <f>муниц!D46+3000+1500-4042.25+5.5+6885.15+5.5+5.5+5767.4+2+13.7+12.78</f>
        <v>55558.283000000003</v>
      </c>
      <c r="E48" s="119">
        <f>C48+D48</f>
        <v>428085.353</v>
      </c>
      <c r="F48" s="100">
        <f>муниц!F46</f>
        <v>74695.19</v>
      </c>
      <c r="G48" s="100">
        <f>муниц!G46+91.6+693.6+44.9+36.2+71.9+18296.89+28.6+10543.7+51.3</f>
        <v>276123.78999999998</v>
      </c>
      <c r="H48" s="100">
        <f>G48+M48</f>
        <v>323057.69</v>
      </c>
      <c r="I48" s="101">
        <f t="shared" si="1"/>
        <v>0.75465719099247019</v>
      </c>
      <c r="J48" s="101">
        <f t="shared" si="2"/>
        <v>4.3250132973756408</v>
      </c>
      <c r="K48" s="100">
        <v>211526.2</v>
      </c>
      <c r="L48" s="101">
        <f t="shared" si="3"/>
        <v>1.5272703334149622</v>
      </c>
      <c r="M48" s="100">
        <f>муниц!M46+1500+88.6+5767.4</f>
        <v>46933.9</v>
      </c>
      <c r="N48" s="100">
        <v>18258.8</v>
      </c>
      <c r="O48" s="101">
        <f t="shared" si="4"/>
        <v>2.5704810830941796</v>
      </c>
      <c r="P48" s="109"/>
      <c r="Q48" s="109"/>
      <c r="R48" s="109"/>
      <c r="S48" s="26"/>
    </row>
    <row r="49" spans="1:19" ht="18.75">
      <c r="A49" s="8" t="s">
        <v>114</v>
      </c>
      <c r="B49" s="127" t="s">
        <v>102</v>
      </c>
      <c r="C49" s="118">
        <f>муниц!C47</f>
        <v>1045.22</v>
      </c>
      <c r="D49" s="118">
        <f>муниц!D47</f>
        <v>-45.220000000000027</v>
      </c>
      <c r="E49" s="102">
        <f>C49+D49</f>
        <v>1000</v>
      </c>
      <c r="F49" s="100"/>
      <c r="G49" s="100">
        <f>муниц!G47</f>
        <v>1003.3</v>
      </c>
      <c r="H49" s="100">
        <f>G49+M49</f>
        <v>1003.3</v>
      </c>
      <c r="I49" s="101">
        <f t="shared" si="1"/>
        <v>1.0032999999999999</v>
      </c>
      <c r="J49" s="101"/>
      <c r="K49" s="100">
        <v>2167.9</v>
      </c>
      <c r="L49" s="101"/>
      <c r="M49" s="100">
        <f>муниц!M47</f>
        <v>0</v>
      </c>
      <c r="N49" s="100">
        <v>395.9</v>
      </c>
      <c r="O49" s="101">
        <f t="shared" si="4"/>
        <v>0</v>
      </c>
      <c r="P49" s="109"/>
      <c r="Q49" s="109"/>
      <c r="R49" s="109"/>
      <c r="S49" s="26"/>
    </row>
    <row r="50" spans="1:19" ht="18">
      <c r="A50" s="13" t="s">
        <v>46</v>
      </c>
      <c r="B50" s="24" t="s">
        <v>39</v>
      </c>
      <c r="C50" s="98">
        <f>муниц!C48</f>
        <v>85.8</v>
      </c>
      <c r="D50" s="183">
        <f>муниц!D48+'Лен '!D45+Высокор!D38+Гост!D39+Новотр!D38+Черн!D38</f>
        <v>0</v>
      </c>
      <c r="E50" s="102">
        <f>C50+D50</f>
        <v>85.8</v>
      </c>
      <c r="F50" s="98">
        <f>муниц!F47+'Лен '!F45+Высокор!F38+Гост!F39+Новотр!F38+Черн!F38</f>
        <v>0</v>
      </c>
      <c r="G50" s="98">
        <f>муниц!G48</f>
        <v>122</v>
      </c>
      <c r="H50" s="100">
        <f>G50+M50</f>
        <v>127.4</v>
      </c>
      <c r="I50" s="101">
        <f>IF(E50&gt;0,H50/E50,0)</f>
        <v>1.4848484848484849</v>
      </c>
      <c r="J50" s="101">
        <f>IF(F50&gt;0,H50/F50,0)</f>
        <v>0</v>
      </c>
      <c r="K50" s="98">
        <v>66.5</v>
      </c>
      <c r="L50" s="101">
        <f t="shared" si="3"/>
        <v>1.9157894736842107</v>
      </c>
      <c r="M50" s="98">
        <f>муниц!M48+'Лен '!M45+Высокор!M38+Гост!M39+Новотр!M38+Черн!M38</f>
        <v>5.4</v>
      </c>
      <c r="N50" s="98">
        <v>8.8000000000000007</v>
      </c>
      <c r="O50" s="101">
        <f t="shared" si="4"/>
        <v>0.61363636363636365</v>
      </c>
      <c r="P50" s="109"/>
      <c r="Q50" s="109"/>
      <c r="R50" s="109"/>
      <c r="S50" s="26"/>
    </row>
    <row r="51" spans="1:19" ht="21" customHeight="1">
      <c r="A51" s="8" t="s">
        <v>93</v>
      </c>
      <c r="B51" s="127" t="s">
        <v>94</v>
      </c>
      <c r="C51" s="98"/>
      <c r="D51" s="98">
        <f>муниц!D50</f>
        <v>-22.126000000000001</v>
      </c>
      <c r="E51" s="119">
        <f>C51+D51</f>
        <v>-22.126000000000001</v>
      </c>
      <c r="F51" s="98"/>
      <c r="G51" s="98">
        <f>муниц!G50</f>
        <v>-22.1</v>
      </c>
      <c r="H51" s="100">
        <f>G51+M51</f>
        <v>-22.1</v>
      </c>
      <c r="I51" s="101"/>
      <c r="J51" s="101"/>
      <c r="K51" s="98">
        <f>муниц!K50</f>
        <v>-2.7</v>
      </c>
      <c r="L51" s="101">
        <f t="shared" si="3"/>
        <v>0</v>
      </c>
      <c r="M51" s="98">
        <f>муниц!M50</f>
        <v>0</v>
      </c>
      <c r="N51" s="98"/>
      <c r="O51" s="101"/>
      <c r="P51" s="109"/>
      <c r="Q51" s="109"/>
      <c r="R51" s="109"/>
      <c r="S51" s="26"/>
    </row>
    <row r="52" spans="1:19" ht="18">
      <c r="A52" s="16" t="s">
        <v>2</v>
      </c>
      <c r="B52" s="25"/>
      <c r="C52" s="116">
        <f t="shared" ref="C52:H52" si="16">C47+C48+C49+C50+C51</f>
        <v>504913.33499999996</v>
      </c>
      <c r="D52" s="116">
        <f t="shared" si="16"/>
        <v>44889.894000000008</v>
      </c>
      <c r="E52" s="113">
        <f t="shared" si="16"/>
        <v>549803.22900000005</v>
      </c>
      <c r="F52" s="116" t="e">
        <f t="shared" si="16"/>
        <v>#REF!</v>
      </c>
      <c r="G52" s="116">
        <f t="shared" si="16"/>
        <v>389469.29</v>
      </c>
      <c r="H52" s="116">
        <f t="shared" si="16"/>
        <v>448420.39000000007</v>
      </c>
      <c r="I52" s="117">
        <f t="shared" si="1"/>
        <v>0.8156015940750323</v>
      </c>
      <c r="J52" s="117" t="e">
        <f t="shared" si="2"/>
        <v>#REF!</v>
      </c>
      <c r="K52" s="116">
        <f>K47+K48+K49+K50+K51</f>
        <v>329314.8</v>
      </c>
      <c r="L52" s="117">
        <f t="shared" si="3"/>
        <v>1.3616770032807517</v>
      </c>
      <c r="M52" s="116">
        <f>M47+M48+M49+M50+M51</f>
        <v>58951.100000000006</v>
      </c>
      <c r="N52" s="116">
        <f>N47+N48+N49+N50+N51</f>
        <v>27548.9</v>
      </c>
      <c r="O52" s="117">
        <f t="shared" si="4"/>
        <v>2.1398712834269245</v>
      </c>
      <c r="P52" s="114">
        <f>P47+P48</f>
        <v>1276.9000000000001</v>
      </c>
      <c r="Q52" s="114">
        <f>Q47+Q48</f>
        <v>1745.9</v>
      </c>
      <c r="R52" s="114">
        <f>R47+R48</f>
        <v>1809.6</v>
      </c>
      <c r="S52" s="26"/>
    </row>
    <row r="53" spans="1:19" ht="15">
      <c r="B53" s="26"/>
      <c r="C53" s="26"/>
      <c r="D53" s="26"/>
      <c r="E53" s="26"/>
      <c r="F53" s="26"/>
      <c r="G53" s="26"/>
      <c r="H53" s="27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19" ht="1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9" ht="1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9" ht="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9" ht="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9" ht="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9" ht="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9" ht="1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9" ht="1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9" ht="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9" ht="1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9" ht="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2:18" ht="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2:18" ht="1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2:18" ht="1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2:18" ht="1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2:18" ht="1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2:18" ht="1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2:18" ht="1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2:18" ht="1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2:18" ht="1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2:18" ht="1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2:18" ht="1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2:18" ht="1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2:18" ht="1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2:18" ht="1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2:18" ht="1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2:18" ht="1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2:18" ht="1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2:18" ht="1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2:18" ht="1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2:18" ht="1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</sheetData>
  <mergeCells count="15">
    <mergeCell ref="A1:R1"/>
    <mergeCell ref="A2:R2"/>
    <mergeCell ref="K3:L3"/>
    <mergeCell ref="P3:R3"/>
    <mergeCell ref="M3:M4"/>
    <mergeCell ref="N3:N4"/>
    <mergeCell ref="O3:O4"/>
    <mergeCell ref="H3:J3"/>
    <mergeCell ref="A3:A4"/>
    <mergeCell ref="B3:B4"/>
    <mergeCell ref="D3:D4"/>
    <mergeCell ref="E3:E4"/>
    <mergeCell ref="G3:G4"/>
    <mergeCell ref="F3:F4"/>
    <mergeCell ref="C3:C4"/>
  </mergeCells>
  <phoneticPr fontId="0" type="noConversion"/>
  <pageMargins left="0.35433070866141736" right="0.15748031496062992" top="0.59055118110236227" bottom="0.19685039370078741" header="0.51181102362204722" footer="0.51181102362204722"/>
  <pageSetup paperSize="9" scale="53" orientation="landscape" r:id="rId1"/>
  <headerFooter alignWithMargins="0"/>
  <rowBreaks count="1" manualBreakCount="1">
    <brk id="5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муниц</vt:lpstr>
      <vt:lpstr>Лен </vt:lpstr>
      <vt:lpstr>Высокор</vt:lpstr>
      <vt:lpstr>Гост</vt:lpstr>
      <vt:lpstr>Новотр</vt:lpstr>
      <vt:lpstr>Черн</vt:lpstr>
      <vt:lpstr>консолид</vt:lpstr>
      <vt:lpstr>консолид!Область_печати</vt:lpstr>
      <vt:lpstr>муниц!Область_печати</vt:lpstr>
      <vt:lpstr>Черн!Область_печати</vt:lpstr>
    </vt:vector>
  </TitlesOfParts>
  <Company>Шабалино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ОПД</dc:creator>
  <cp:lastModifiedBy>1</cp:lastModifiedBy>
  <cp:lastPrinted>2023-01-18T07:34:29Z</cp:lastPrinted>
  <dcterms:created xsi:type="dcterms:W3CDTF">2003-11-05T12:49:21Z</dcterms:created>
  <dcterms:modified xsi:type="dcterms:W3CDTF">2023-02-27T07:00:27Z</dcterms:modified>
</cp:coreProperties>
</file>