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'консолид'!$A$1:$S$52</definedName>
    <definedName name="_xlnm.Print_Area" localSheetId="0">'муниц'!$A$1:$S$52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<sst xmlns="http://schemas.openxmlformats.org/spreadsheetml/2006/main" count="455" uniqueCount="135">
  <si>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</si>
  <si>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</si>
  <si>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</si>
  <si>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</si>
  <si>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</si>
  <si>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</si>
  <si>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</si>
  <si>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</si>
  <si>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</si>
  <si>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</si>
  <si>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</si>
  <si>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</si>
  <si>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</si>
  <si>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</si>
  <si>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</si>
  <si>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</si>
  <si>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</si>
  <si>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</si>
  <si>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</si>
  <si>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</si>
  <si>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</si>
  <si>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</si>
  <si>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</si>
  <si>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</si>
  <si>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</si>
  <si>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</si>
  <si>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</si>
  <si>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</si>
  <si>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</si>
  <si>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</si>
  <si>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</si>
  <si>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</si>
  <si>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</si>
  <si>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</si>
  <si>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</si>
  <si>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</si>
  <si>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</si>
  <si>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</si>
  <si>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</si>
  <si>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</si>
  <si>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</si>
  <si>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</si>
  <si>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</si>
  <si>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</si>
  <si>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</si>
  <si>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</si>
  <si>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</si>
  <si>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</si>
  <si>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</si>
  <si>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</si>
  <si>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</si>
  <si>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</si>
  <si>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</si>
  <si>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</si>
  <si>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</si>
  <si>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</si>
  <si>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</si>
  <si>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</si>
  <si>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</si>
  <si>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</si>
  <si>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</si>
  <si>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</si>
  <si>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</si>
  <si>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</si>
  <si>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</si>
  <si>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</si>
  <si>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</si>
  <si>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</si>
  <si>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</si>
  <si>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</si>
  <si>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</si>
  <si>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</si>
  <si>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</si>
  <si>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</si>
  <si>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</si>
  <si>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</si>
  <si>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</si>
  <si>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</si>
  <si>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</si>
  <si>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</si>
  <si>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</si>
  <si>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</si>
  <si>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</si>
  <si>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</si>
  <si>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</si>
  <si>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</si>
  <si>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</si>
  <si>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</si>
  <si>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</si>
  <si>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</si>
  <si>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</si>
  <si>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</si>
  <si>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</si>
  <si>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</si>
  <si>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</si>
  <si>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</si>
  <si>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</si>
  <si>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</si>
  <si>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</si>
  <si>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</si>
  <si>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</si>
  <si>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</si>
  <si>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</si>
  <si>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</si>
  <si>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</si>
  <si>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</si>
  <si>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</si>
  <si>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</si>
  <si>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</si>
  <si>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</si>
  <si>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</si>
  <si>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</si>
  <si>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доходы от сдачи в аренду им-ва в казне</t>
  </si>
  <si>
    <t>2021 год</t>
  </si>
  <si>
    <t>Безвоз. поступл. от негосуд. организ-й</t>
  </si>
  <si>
    <t>Первоначальный план на 2022 год</t>
  </si>
  <si>
    <t>Уточненный план на 2022 год</t>
  </si>
  <si>
    <t>2022 год</t>
  </si>
  <si>
    <t>на 01.01.2022 года</t>
  </si>
  <si>
    <t>инициативные платежи</t>
  </si>
  <si>
    <t>Фактическое исполнение за январь-август</t>
  </si>
  <si>
    <t>на 01.09.2022 года</t>
  </si>
  <si>
    <t>Фактическое исполнение за январь-сентябрь</t>
  </si>
  <si>
    <t>Поступило за сентябрь  2022 года</t>
  </si>
  <si>
    <t>Поступило за  сентябрь   2021 года</t>
  </si>
  <si>
    <t>2080500005</t>
  </si>
  <si>
    <t>Перечисления для осуществления возврата</t>
  </si>
  <si>
    <t>Сведения об исполнении бюджета муниципального района по состоянию на  01 октября   2022 года</t>
  </si>
  <si>
    <t>на 01.10.2022 года</t>
  </si>
  <si>
    <t xml:space="preserve">об исполнении бюджета Ленинского городского поселения на 01 октября  2022 г. </t>
  </si>
  <si>
    <t>об исполнении бюджета Высокораменского сельского поселения на 01 октября    2022 г.</t>
  </si>
  <si>
    <t>об исполнении бюджета Гостовского сельского поселения на 01 октября  2022г.</t>
  </si>
  <si>
    <t>об исполнении бюджета Новотроицкого сельского поселения на 01 октября   2022 г.</t>
  </si>
  <si>
    <t>об исполнении бюджета Черновского сельского поселения на 01  октября  2022 г.</t>
  </si>
  <si>
    <t xml:space="preserve">об исполнении бюджета муниципального  образования на  01  октября 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</si>
</sst>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  <numFmt numFmtId="180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4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73" fontId="7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13" fillId="0" borderId="17" xfId="0" applyNumberFormat="1" applyFont="1" applyFill="1" applyBorder="1" applyAlignment="1">
      <alignment/>
    </xf>
    <xf numFmtId="18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/>
    </xf>
    <xf numFmtId="180" fontId="9" fillId="33" borderId="12" xfId="0" applyNumberFormat="1" applyFont="1" applyFill="1" applyBorder="1" applyAlignment="1">
      <alignment/>
    </xf>
    <xf numFmtId="174" fontId="5" fillId="36" borderId="12" xfId="0" applyNumberFormat="1" applyFont="1" applyFill="1" applyBorder="1" applyAlignment="1">
      <alignment horizontal="right"/>
    </xf>
    <xf numFmtId="173" fontId="12" fillId="0" borderId="12" xfId="0" applyNumberFormat="1" applyFont="1" applyBorder="1" applyAlignment="1">
      <alignment/>
    </xf>
    <xf numFmtId="2" fontId="5" fillId="33" borderId="12" xfId="0" applyNumberFormat="1" applyFont="1" applyFill="1" applyBorder="1" applyAlignment="1">
      <alignment/>
    </xf>
    <xf numFmtId="174" fontId="13" fillId="0" borderId="13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SheetLayoutView="50" zoomScalePageLayoutView="0" workbookViewId="0" topLeftCell="A1">
      <pane xSplit="2" ySplit="4" topLeftCell="E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5" sqref="S5:S44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4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4.75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8" ht="20.25" customHeight="1">
      <c r="A2" s="187" t="s">
        <v>28</v>
      </c>
      <c r="B2" s="187" t="s">
        <v>4</v>
      </c>
      <c r="C2" s="187" t="s">
        <v>115</v>
      </c>
      <c r="D2" s="187" t="s">
        <v>24</v>
      </c>
      <c r="E2" s="187" t="s">
        <v>116</v>
      </c>
      <c r="F2" s="187" t="s">
        <v>99</v>
      </c>
      <c r="G2" s="187" t="s">
        <v>120</v>
      </c>
      <c r="H2" s="187" t="s">
        <v>117</v>
      </c>
      <c r="I2" s="187"/>
      <c r="J2" s="187"/>
      <c r="K2" s="187" t="s">
        <v>113</v>
      </c>
      <c r="L2" s="187"/>
      <c r="M2" s="187" t="s">
        <v>123</v>
      </c>
      <c r="N2" s="187" t="s">
        <v>124</v>
      </c>
      <c r="O2" s="187" t="s">
        <v>30</v>
      </c>
      <c r="P2" s="187" t="s">
        <v>9</v>
      </c>
      <c r="Q2" s="187"/>
      <c r="R2" s="187"/>
    </row>
    <row r="3" spans="1:18" ht="97.5" customHeight="1">
      <c r="A3" s="187"/>
      <c r="B3" s="187"/>
      <c r="C3" s="187"/>
      <c r="D3" s="187"/>
      <c r="E3" s="187"/>
      <c r="F3" s="187"/>
      <c r="G3" s="187"/>
      <c r="H3" s="47" t="s">
        <v>122</v>
      </c>
      <c r="I3" s="47" t="s">
        <v>10</v>
      </c>
      <c r="J3" s="47" t="s">
        <v>29</v>
      </c>
      <c r="K3" s="47" t="s">
        <v>122</v>
      </c>
      <c r="L3" s="47" t="s">
        <v>30</v>
      </c>
      <c r="M3" s="187"/>
      <c r="N3" s="187"/>
      <c r="O3" s="187"/>
      <c r="P3" s="122" t="s">
        <v>118</v>
      </c>
      <c r="Q3" s="122" t="s">
        <v>121</v>
      </c>
      <c r="R3" s="122" t="s">
        <v>128</v>
      </c>
    </row>
    <row r="4" spans="1:18" ht="18.75">
      <c r="A4" s="35" t="s">
        <v>21</v>
      </c>
      <c r="B4" s="36"/>
      <c r="C4" s="56">
        <f aca="true" t="shared" si="0" ref="C4:H4">C5+C9+C14+C20+C21+C22</f>
        <v>67520.9</v>
      </c>
      <c r="D4" s="56">
        <f t="shared" si="0"/>
        <v>134.6</v>
      </c>
      <c r="E4" s="56">
        <f t="shared" si="0"/>
        <v>67655.5</v>
      </c>
      <c r="F4" s="56">
        <f t="shared" si="0"/>
        <v>28287.7</v>
      </c>
      <c r="G4" s="56">
        <f t="shared" si="0"/>
        <v>61019.7</v>
      </c>
      <c r="H4" s="56">
        <f t="shared" si="0"/>
        <v>63799.200000000004</v>
      </c>
      <c r="I4" s="57">
        <f>IF(E4&gt;0,H4/E4,0)</f>
        <v>0.943000938578534</v>
      </c>
      <c r="J4" s="57">
        <f>IF(F4&gt;0,H4/F4,0)</f>
        <v>2.2553689412712945</v>
      </c>
      <c r="K4" s="56">
        <f>K5+K9+K14+K20+K21+K22</f>
        <v>51444.799999999996</v>
      </c>
      <c r="L4" s="57">
        <f aca="true" t="shared" si="1" ref="L4:L51">IF(K4&gt;0,H4/K4,0)</f>
        <v>1.2401486641992974</v>
      </c>
      <c r="M4" s="56">
        <f>M5+M9+M14+M20+M21+M22</f>
        <v>2779.4999999999995</v>
      </c>
      <c r="N4" s="56">
        <f>N5+N9+N14+N20+N21+N22</f>
        <v>2532.7</v>
      </c>
      <c r="O4" s="57">
        <f aca="true" t="shared" si="2" ref="O4:O51">IF(N4&gt;0,M4/N4,0)</f>
        <v>1.0974454139850751</v>
      </c>
      <c r="P4" s="56">
        <f>P5+P9+P14+P20+P21+P22</f>
        <v>177.20000000000002</v>
      </c>
      <c r="Q4" s="56">
        <f>Q5+Q9+Q14+Q20+Q21+Q22</f>
        <v>318.6</v>
      </c>
      <c r="R4" s="56">
        <f>R5+R9+R14+R20+R21+R22</f>
        <v>118.5</v>
      </c>
    </row>
    <row r="5" spans="1:18" ht="18.75">
      <c r="A5" s="37" t="s">
        <v>63</v>
      </c>
      <c r="B5" s="38">
        <v>1010200001</v>
      </c>
      <c r="C5" s="58">
        <f aca="true" t="shared" si="3" ref="C5:H5">SUM(C6:C8)</f>
        <v>16129.4</v>
      </c>
      <c r="D5" s="58">
        <f t="shared" si="3"/>
        <v>0</v>
      </c>
      <c r="E5" s="58">
        <f t="shared" si="3"/>
        <v>16129.4</v>
      </c>
      <c r="F5" s="58">
        <f t="shared" si="3"/>
        <v>9897.800000000001</v>
      </c>
      <c r="G5" s="58">
        <f t="shared" si="3"/>
        <v>10490.099999999999</v>
      </c>
      <c r="H5" s="58">
        <f t="shared" si="3"/>
        <v>11841.599999999999</v>
      </c>
      <c r="I5" s="59">
        <f>IF(E5&gt;0,H5/E5,0)</f>
        <v>0.7341624610958869</v>
      </c>
      <c r="J5" s="59">
        <f>IF(F5&gt;0,H5/F5,0)</f>
        <v>1.19638707591586</v>
      </c>
      <c r="K5" s="58">
        <f>SUM(K6:K8)</f>
        <v>11114</v>
      </c>
      <c r="L5" s="59">
        <f t="shared" si="1"/>
        <v>1.0654669785855677</v>
      </c>
      <c r="M5" s="58">
        <f>SUM(M6:M8)</f>
        <v>1351.5</v>
      </c>
      <c r="N5" s="58">
        <f>SUM(N6:N8)</f>
        <v>1206.1</v>
      </c>
      <c r="O5" s="59">
        <f t="shared" si="2"/>
        <v>1.1205538512561148</v>
      </c>
      <c r="P5" s="58">
        <f>SUM(P6:P8)</f>
        <v>26.8</v>
      </c>
      <c r="Q5" s="58">
        <f>SUM(Q6:Q8)</f>
        <v>71.7</v>
      </c>
      <c r="R5" s="58">
        <f>SUM(R6:R8)</f>
        <v>41.7</v>
      </c>
    </row>
    <row r="6" spans="1:19" ht="18.75" customHeight="1">
      <c r="A6" s="40" t="s">
        <v>40</v>
      </c>
      <c r="B6" s="8">
        <v>1010201001</v>
      </c>
      <c r="C6" s="60">
        <v>16051.4</v>
      </c>
      <c r="D6" s="61"/>
      <c r="E6" s="61">
        <f>C6+D6</f>
        <v>16051.4</v>
      </c>
      <c r="F6" s="61">
        <f>2700+346+3300+3328.7+150</f>
        <v>9824.7</v>
      </c>
      <c r="G6" s="61">
        <v>10225.9</v>
      </c>
      <c r="H6" s="61">
        <f>G6+M6</f>
        <v>11576</v>
      </c>
      <c r="I6" s="62">
        <f aca="true" t="shared" si="4" ref="I6:I51">IF(E6&gt;0,H6/E6,0)</f>
        <v>0.7211831989732983</v>
      </c>
      <c r="J6" s="62">
        <f aca="true" t="shared" si="5" ref="J6:J51">IF(F6&gt;0,H6/F6,0)</f>
        <v>1.1782548067625473</v>
      </c>
      <c r="K6" s="61">
        <v>11028.4</v>
      </c>
      <c r="L6" s="62">
        <f t="shared" si="1"/>
        <v>1.0496536215588843</v>
      </c>
      <c r="M6" s="61">
        <v>1350.1</v>
      </c>
      <c r="N6" s="61">
        <v>1197.8</v>
      </c>
      <c r="O6" s="62">
        <f t="shared" si="2"/>
        <v>1.1271497745867423</v>
      </c>
      <c r="P6" s="61">
        <v>21.3</v>
      </c>
      <c r="Q6" s="61">
        <v>59.7</v>
      </c>
      <c r="R6" s="61">
        <v>30.1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/>
      <c r="E7" s="61">
        <f aca="true" t="shared" si="6" ref="E7:E22">C7+D7</f>
        <v>36</v>
      </c>
      <c r="F7" s="61">
        <f>26.1</f>
        <v>26.1</v>
      </c>
      <c r="G7" s="61">
        <v>73.8</v>
      </c>
      <c r="H7" s="61">
        <f>G7+M7</f>
        <v>73.8</v>
      </c>
      <c r="I7" s="62">
        <f t="shared" si="4"/>
        <v>2.05</v>
      </c>
      <c r="J7" s="62">
        <f t="shared" si="5"/>
        <v>2.8275862068965516</v>
      </c>
      <c r="K7" s="61">
        <v>30.9</v>
      </c>
      <c r="L7" s="62">
        <f t="shared" si="1"/>
        <v>2.3883495145631066</v>
      </c>
      <c r="M7" s="61"/>
      <c r="N7" s="61"/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42</v>
      </c>
      <c r="D8" s="61"/>
      <c r="E8" s="61">
        <f t="shared" si="6"/>
        <v>42</v>
      </c>
      <c r="F8" s="61">
        <f>2+45</f>
        <v>47</v>
      </c>
      <c r="G8" s="61">
        <v>190.4</v>
      </c>
      <c r="H8" s="61">
        <f>G8+M8</f>
        <v>191.8</v>
      </c>
      <c r="I8" s="62">
        <f t="shared" si="4"/>
        <v>4.566666666666667</v>
      </c>
      <c r="J8" s="62">
        <f t="shared" si="5"/>
        <v>4.080851063829788</v>
      </c>
      <c r="K8" s="61">
        <v>54.7</v>
      </c>
      <c r="L8" s="62">
        <f t="shared" si="1"/>
        <v>3.506398537477148</v>
      </c>
      <c r="M8" s="61">
        <v>1.4</v>
      </c>
      <c r="N8" s="61">
        <v>8.3</v>
      </c>
      <c r="O8" s="62">
        <f t="shared" si="2"/>
        <v>0.1686746987951807</v>
      </c>
      <c r="P8" s="61">
        <v>5.5</v>
      </c>
      <c r="Q8" s="61">
        <v>12</v>
      </c>
      <c r="R8" s="61">
        <v>11.6</v>
      </c>
      <c r="S8" s="26"/>
    </row>
    <row r="9" spans="1:19" ht="18" customHeight="1">
      <c r="A9" s="37" t="s">
        <v>48</v>
      </c>
      <c r="B9" s="39">
        <v>1030200001</v>
      </c>
      <c r="C9" s="58">
        <f aca="true" t="shared" si="7" ref="C9:H9">SUM(C10:C13)</f>
        <v>8781.5</v>
      </c>
      <c r="D9" s="58">
        <f t="shared" si="7"/>
        <v>0</v>
      </c>
      <c r="E9" s="58">
        <f t="shared" si="7"/>
        <v>8781.5</v>
      </c>
      <c r="F9" s="58">
        <f>925+200+490+1350+1800</f>
        <v>4765</v>
      </c>
      <c r="G9" s="58">
        <f>SUM(G10:G13)</f>
        <v>6563.599999999999</v>
      </c>
      <c r="H9" s="58">
        <f t="shared" si="7"/>
        <v>7552.7</v>
      </c>
      <c r="I9" s="59">
        <f t="shared" si="4"/>
        <v>0.8600694642145419</v>
      </c>
      <c r="J9" s="59">
        <f t="shared" si="5"/>
        <v>1.5850367261280167</v>
      </c>
      <c r="K9" s="58">
        <f>SUM(K10:K13)</f>
        <v>6181.4</v>
      </c>
      <c r="L9" s="59">
        <f t="shared" si="1"/>
        <v>1.221842948199437</v>
      </c>
      <c r="M9" s="58">
        <f>SUM(M10:M13)</f>
        <v>989.0999999999999</v>
      </c>
      <c r="N9" s="58">
        <f>SUM(N10:N13)</f>
        <v>809.9</v>
      </c>
      <c r="O9" s="59">
        <f t="shared" si="2"/>
        <v>1.2212618841832323</v>
      </c>
      <c r="P9" s="58">
        <f>SUM(P10:P13)</f>
        <v>0</v>
      </c>
      <c r="Q9" s="58">
        <f>SUM(Q10:Q13)</f>
        <v>0</v>
      </c>
      <c r="R9" s="58">
        <f>SUM(R10:R13)</f>
        <v>0</v>
      </c>
      <c r="S9" s="26"/>
    </row>
    <row r="10" spans="1:19" ht="18.75">
      <c r="A10" s="41" t="s">
        <v>49</v>
      </c>
      <c r="B10" s="41">
        <v>1030223101</v>
      </c>
      <c r="C10" s="60">
        <v>3970.4</v>
      </c>
      <c r="D10" s="61"/>
      <c r="E10" s="61">
        <f t="shared" si="6"/>
        <v>3970.4</v>
      </c>
      <c r="F10" s="61"/>
      <c r="G10" s="61">
        <v>3221.2</v>
      </c>
      <c r="H10" s="61">
        <f>G10+M10</f>
        <v>3692.8999999999996</v>
      </c>
      <c r="I10" s="62">
        <f t="shared" si="4"/>
        <v>0.9301077977030021</v>
      </c>
      <c r="J10" s="62">
        <f t="shared" si="5"/>
        <v>0</v>
      </c>
      <c r="K10" s="61">
        <v>2803.7</v>
      </c>
      <c r="L10" s="62">
        <f t="shared" si="1"/>
        <v>1.317152334415237</v>
      </c>
      <c r="M10" s="61">
        <v>471.7</v>
      </c>
      <c r="N10" s="61">
        <v>376.1</v>
      </c>
      <c r="O10" s="62">
        <f t="shared" si="2"/>
        <v>1.2541877160329697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22</v>
      </c>
      <c r="D11" s="61"/>
      <c r="E11" s="61">
        <f t="shared" si="6"/>
        <v>22</v>
      </c>
      <c r="F11" s="61"/>
      <c r="G11" s="61">
        <v>18.7</v>
      </c>
      <c r="H11" s="61">
        <f>G11+M11</f>
        <v>20.9</v>
      </c>
      <c r="I11" s="62">
        <f t="shared" si="4"/>
        <v>0.95</v>
      </c>
      <c r="J11" s="62">
        <f t="shared" si="5"/>
        <v>0</v>
      </c>
      <c r="K11" s="61">
        <v>20</v>
      </c>
      <c r="L11" s="62">
        <f t="shared" si="1"/>
        <v>1.045</v>
      </c>
      <c r="M11" s="61">
        <v>2.2</v>
      </c>
      <c r="N11" s="61">
        <v>1.9</v>
      </c>
      <c r="O11" s="62">
        <f t="shared" si="2"/>
        <v>1.1578947368421053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5287</v>
      </c>
      <c r="D12" s="61"/>
      <c r="E12" s="61">
        <f t="shared" si="6"/>
        <v>5287</v>
      </c>
      <c r="F12" s="61"/>
      <c r="G12" s="61">
        <v>3698.7</v>
      </c>
      <c r="H12" s="61">
        <f>G12+M12</f>
        <v>4251.099999999999</v>
      </c>
      <c r="I12" s="62">
        <f t="shared" si="4"/>
        <v>0.8040665783998486</v>
      </c>
      <c r="J12" s="62">
        <f t="shared" si="5"/>
        <v>0</v>
      </c>
      <c r="K12" s="61">
        <v>3852.6</v>
      </c>
      <c r="L12" s="62">
        <f t="shared" si="1"/>
        <v>1.1034366401910396</v>
      </c>
      <c r="M12" s="61">
        <v>552.4</v>
      </c>
      <c r="N12" s="61">
        <v>483.3</v>
      </c>
      <c r="O12" s="62">
        <f t="shared" si="2"/>
        <v>1.142975377612249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-497.9</v>
      </c>
      <c r="D13" s="61"/>
      <c r="E13" s="61">
        <f t="shared" si="6"/>
        <v>-497.9</v>
      </c>
      <c r="F13" s="61"/>
      <c r="G13" s="61">
        <v>-375</v>
      </c>
      <c r="H13" s="61">
        <f>G13+M13</f>
        <v>-412.2</v>
      </c>
      <c r="I13" s="62">
        <f>H13/E13</f>
        <v>0.8278770837517574</v>
      </c>
      <c r="J13" s="62">
        <f t="shared" si="5"/>
        <v>0</v>
      </c>
      <c r="K13" s="61">
        <v>-494.9</v>
      </c>
      <c r="L13" s="62">
        <f t="shared" si="1"/>
        <v>0</v>
      </c>
      <c r="M13" s="61">
        <v>-37.2</v>
      </c>
      <c r="N13" s="61">
        <v>-51.4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35550</v>
      </c>
      <c r="D14" s="58">
        <f t="shared" si="8"/>
        <v>134.6</v>
      </c>
      <c r="E14" s="58">
        <f t="shared" si="8"/>
        <v>35684.6</v>
      </c>
      <c r="F14" s="58">
        <f t="shared" si="8"/>
        <v>11352.9</v>
      </c>
      <c r="G14" s="58">
        <f>G15+G16+G17+G18+G19</f>
        <v>35693</v>
      </c>
      <c r="H14" s="58">
        <f t="shared" si="8"/>
        <v>36627.5</v>
      </c>
      <c r="I14" s="59">
        <f t="shared" si="4"/>
        <v>1.02642316293303</v>
      </c>
      <c r="J14" s="59">
        <f t="shared" si="5"/>
        <v>3.2262681781747395</v>
      </c>
      <c r="K14" s="58">
        <f>K15+K16+K17+K18+K19</f>
        <v>28932.5</v>
      </c>
      <c r="L14" s="59">
        <f t="shared" si="1"/>
        <v>1.2659638814481984</v>
      </c>
      <c r="M14" s="58">
        <f>M15+M16+M17+M18+M19</f>
        <v>934.5000000000001</v>
      </c>
      <c r="N14" s="58">
        <f>N15+N16+N17+N18+N19</f>
        <v>421.09999999999997</v>
      </c>
      <c r="O14" s="59">
        <f t="shared" si="2"/>
        <v>2.2191878413678467</v>
      </c>
      <c r="P14" s="58">
        <f>SUM(P15:P19)</f>
        <v>150.4</v>
      </c>
      <c r="Q14" s="58">
        <f>SUM(Q15:Q19)</f>
        <v>246.9</v>
      </c>
      <c r="R14" s="58">
        <f>SUM(R15:R19)</f>
        <v>76.8</v>
      </c>
      <c r="S14" s="26"/>
    </row>
    <row r="15" spans="1:19" ht="18.75">
      <c r="A15" s="40" t="s">
        <v>53</v>
      </c>
      <c r="B15" s="8">
        <v>1050101001</v>
      </c>
      <c r="C15" s="60">
        <v>28100</v>
      </c>
      <c r="D15" s="61"/>
      <c r="E15" s="61">
        <f t="shared" si="6"/>
        <v>28100</v>
      </c>
      <c r="F15" s="61">
        <f>1100+1131+3100+350+1370</f>
        <v>7051</v>
      </c>
      <c r="G15" s="61">
        <v>28001.7</v>
      </c>
      <c r="H15" s="61">
        <f aca="true" t="shared" si="9" ref="H15:H22">G15+M15</f>
        <v>28681.3</v>
      </c>
      <c r="I15" s="62">
        <f t="shared" si="4"/>
        <v>1.0206868327402134</v>
      </c>
      <c r="J15" s="62">
        <f t="shared" si="5"/>
        <v>4.067692525882854</v>
      </c>
      <c r="K15" s="61">
        <v>21869.1</v>
      </c>
      <c r="L15" s="62">
        <f t="shared" si="1"/>
        <v>1.3114988728388457</v>
      </c>
      <c r="M15" s="61">
        <v>679.6</v>
      </c>
      <c r="N15" s="61">
        <v>246.4</v>
      </c>
      <c r="O15" s="62">
        <f t="shared" si="2"/>
        <v>2.758116883116883</v>
      </c>
      <c r="P15" s="61">
        <v>146</v>
      </c>
      <c r="Q15" s="61">
        <v>246.4</v>
      </c>
      <c r="R15" s="61">
        <v>66.6</v>
      </c>
      <c r="S15" s="26"/>
    </row>
    <row r="16" spans="1:21" ht="18.75">
      <c r="A16" s="40" t="s">
        <v>54</v>
      </c>
      <c r="B16" s="8">
        <v>1050102001</v>
      </c>
      <c r="C16" s="60">
        <v>6000</v>
      </c>
      <c r="D16" s="61"/>
      <c r="E16" s="61">
        <f t="shared" si="6"/>
        <v>6000</v>
      </c>
      <c r="F16" s="61">
        <f>100+159+500+350+400</f>
        <v>1509</v>
      </c>
      <c r="G16" s="61">
        <v>6327.3</v>
      </c>
      <c r="H16" s="61">
        <f t="shared" si="9"/>
        <v>6556.6</v>
      </c>
      <c r="I16" s="62">
        <f t="shared" si="4"/>
        <v>1.0927666666666667</v>
      </c>
      <c r="J16" s="62">
        <f t="shared" si="5"/>
        <v>4.344996686547383</v>
      </c>
      <c r="K16" s="61">
        <v>4535.9</v>
      </c>
      <c r="L16" s="62">
        <f t="shared" si="1"/>
        <v>1.4454904208646577</v>
      </c>
      <c r="M16" s="61">
        <v>229.3</v>
      </c>
      <c r="N16" s="61">
        <v>110.5</v>
      </c>
      <c r="O16" s="62">
        <f t="shared" si="2"/>
        <v>2.075113122171946</v>
      </c>
      <c r="P16" s="61">
        <v>2.3</v>
      </c>
      <c r="Q16" s="61">
        <v>0.2</v>
      </c>
      <c r="R16" s="61">
        <v>0.2</v>
      </c>
      <c r="S16" s="26"/>
      <c r="U16" s="165"/>
    </row>
    <row r="17" spans="1:20" ht="18.75">
      <c r="A17" s="40" t="s">
        <v>0</v>
      </c>
      <c r="B17" s="8">
        <v>1050200002</v>
      </c>
      <c r="C17" s="60"/>
      <c r="D17" s="61"/>
      <c r="E17" s="61">
        <f t="shared" si="6"/>
        <v>0</v>
      </c>
      <c r="F17" s="61">
        <f>1000+126+65+1480-30</f>
        <v>2641</v>
      </c>
      <c r="G17" s="61">
        <v>-13.2</v>
      </c>
      <c r="H17" s="61">
        <f t="shared" si="9"/>
        <v>-13</v>
      </c>
      <c r="I17" s="62">
        <f t="shared" si="4"/>
        <v>0</v>
      </c>
      <c r="J17" s="62">
        <f t="shared" si="5"/>
        <v>-0.004922377887163953</v>
      </c>
      <c r="K17" s="61">
        <v>1337.2</v>
      </c>
      <c r="L17" s="62">
        <f t="shared" si="1"/>
        <v>-0.009721806760394854</v>
      </c>
      <c r="M17" s="61">
        <v>0.2</v>
      </c>
      <c r="N17" s="61">
        <v>16.2</v>
      </c>
      <c r="O17" s="62">
        <f t="shared" si="2"/>
        <v>0.01234567901234568</v>
      </c>
      <c r="P17" s="61">
        <v>2.1</v>
      </c>
      <c r="Q17" s="61"/>
      <c r="R17" s="61"/>
      <c r="S17" s="26"/>
      <c r="T17" s="157"/>
    </row>
    <row r="18" spans="1:19" ht="18.75">
      <c r="A18" s="40" t="s">
        <v>7</v>
      </c>
      <c r="B18" s="8">
        <v>1050300001</v>
      </c>
      <c r="C18" s="60">
        <v>210</v>
      </c>
      <c r="D18" s="61">
        <f>134.6</f>
        <v>134.6</v>
      </c>
      <c r="E18" s="61">
        <f t="shared" si="6"/>
        <v>344.6</v>
      </c>
      <c r="F18" s="61">
        <f>5.4+5.6+52</f>
        <v>63</v>
      </c>
      <c r="G18" s="61">
        <v>494.6</v>
      </c>
      <c r="H18" s="61">
        <f t="shared" si="9"/>
        <v>494.6</v>
      </c>
      <c r="I18" s="62">
        <f t="shared" si="4"/>
        <v>1.4352872896111433</v>
      </c>
      <c r="J18" s="62">
        <f t="shared" si="5"/>
        <v>7.850793650793651</v>
      </c>
      <c r="K18" s="61">
        <v>185</v>
      </c>
      <c r="L18" s="62">
        <f t="shared" si="1"/>
        <v>2.6735135135135137</v>
      </c>
      <c r="M18" s="61"/>
      <c r="N18" s="61"/>
      <c r="O18" s="62">
        <f t="shared" si="2"/>
        <v>0</v>
      </c>
      <c r="P18" s="61"/>
      <c r="Q18" s="61"/>
      <c r="R18" s="61"/>
      <c r="S18" s="26"/>
    </row>
    <row r="19" spans="1:19" ht="18.75">
      <c r="A19" s="40" t="s">
        <v>96</v>
      </c>
      <c r="B19" s="8">
        <v>1050402002</v>
      </c>
      <c r="C19" s="60">
        <v>1240</v>
      </c>
      <c r="D19" s="61"/>
      <c r="E19" s="61">
        <f t="shared" si="6"/>
        <v>1240</v>
      </c>
      <c r="F19" s="61">
        <f>50+15+2.9+21</f>
        <v>88.9</v>
      </c>
      <c r="G19" s="61">
        <v>882.6</v>
      </c>
      <c r="H19" s="61">
        <f t="shared" si="9"/>
        <v>908</v>
      </c>
      <c r="I19" s="62">
        <f t="shared" si="4"/>
        <v>0.7322580645161291</v>
      </c>
      <c r="J19" s="62">
        <f t="shared" si="5"/>
        <v>10.213723284589426</v>
      </c>
      <c r="K19" s="61">
        <v>1005.3</v>
      </c>
      <c r="L19" s="62">
        <f t="shared" si="1"/>
        <v>0.9032129712523626</v>
      </c>
      <c r="M19" s="61">
        <v>25.4</v>
      </c>
      <c r="N19" s="61">
        <v>48</v>
      </c>
      <c r="O19" s="62">
        <f t="shared" si="2"/>
        <v>0.5291666666666667</v>
      </c>
      <c r="P19" s="61"/>
      <c r="Q19" s="61">
        <v>0.3</v>
      </c>
      <c r="R19" s="61">
        <v>10</v>
      </c>
      <c r="S19" s="26"/>
    </row>
    <row r="20" spans="1:19" ht="16.5" customHeight="1">
      <c r="A20" s="37" t="s">
        <v>57</v>
      </c>
      <c r="B20" s="38">
        <v>1060201002</v>
      </c>
      <c r="C20" s="58">
        <v>6350</v>
      </c>
      <c r="D20" s="63"/>
      <c r="E20" s="63">
        <f t="shared" si="6"/>
        <v>6350</v>
      </c>
      <c r="F20" s="63">
        <f>300+93+770+670+150</f>
        <v>1983</v>
      </c>
      <c r="G20" s="63">
        <v>5876</v>
      </c>
      <c r="H20" s="63">
        <f t="shared" si="9"/>
        <v>5265.3</v>
      </c>
      <c r="I20" s="59">
        <f t="shared" si="4"/>
        <v>0.8291811023622048</v>
      </c>
      <c r="J20" s="59">
        <f t="shared" si="5"/>
        <v>2.6552193645990925</v>
      </c>
      <c r="K20" s="63">
        <v>4719.7</v>
      </c>
      <c r="L20" s="59">
        <f t="shared" si="1"/>
        <v>1.1156005678327012</v>
      </c>
      <c r="M20" s="63">
        <v>-610.7</v>
      </c>
      <c r="N20" s="63">
        <v>0.2</v>
      </c>
      <c r="O20" s="59">
        <f t="shared" si="2"/>
        <v>-3053.5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710</v>
      </c>
      <c r="D21" s="63"/>
      <c r="E21" s="63">
        <f t="shared" si="6"/>
        <v>710</v>
      </c>
      <c r="F21" s="63">
        <f>75+34+90+90</f>
        <v>289</v>
      </c>
      <c r="G21" s="63">
        <v>2397</v>
      </c>
      <c r="H21" s="63">
        <f t="shared" si="9"/>
        <v>2512.1</v>
      </c>
      <c r="I21" s="59">
        <f t="shared" si="4"/>
        <v>3.538169014084507</v>
      </c>
      <c r="J21" s="59">
        <f t="shared" si="5"/>
        <v>8.692387543252595</v>
      </c>
      <c r="K21" s="63">
        <v>497.2</v>
      </c>
      <c r="L21" s="59">
        <f t="shared" si="1"/>
        <v>5.05249396621078</v>
      </c>
      <c r="M21" s="63">
        <v>115.1</v>
      </c>
      <c r="N21" s="63">
        <v>95.4</v>
      </c>
      <c r="O21" s="59">
        <f t="shared" si="2"/>
        <v>1.2064989517819704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45935.145</v>
      </c>
      <c r="D23" s="56">
        <f t="shared" si="10"/>
        <v>10438.301000000001</v>
      </c>
      <c r="E23" s="56">
        <f t="shared" si="10"/>
        <v>56373.446</v>
      </c>
      <c r="F23" s="56">
        <f t="shared" si="10"/>
        <v>7948.7</v>
      </c>
      <c r="G23" s="136">
        <f>G24+G31+G32+G36+G39+G40</f>
        <v>9001.7</v>
      </c>
      <c r="H23" s="56">
        <f t="shared" si="10"/>
        <v>12482.6</v>
      </c>
      <c r="I23" s="57">
        <f t="shared" si="4"/>
        <v>0.22142694629666598</v>
      </c>
      <c r="J23" s="57">
        <f t="shared" si="5"/>
        <v>1.5703951589568106</v>
      </c>
      <c r="K23" s="136">
        <f>K24+K31+K32+K36+K39+K40</f>
        <v>18852.600000000002</v>
      </c>
      <c r="L23" s="57">
        <f t="shared" si="1"/>
        <v>0.6621155702661701</v>
      </c>
      <c r="M23" s="136">
        <f>M24+M31+M32+M36+M39+M40</f>
        <v>3480.9</v>
      </c>
      <c r="N23" s="136">
        <f>N24+N31+N32+N36+N39+N40</f>
        <v>1237.9</v>
      </c>
      <c r="O23" s="57">
        <f t="shared" si="2"/>
        <v>2.8119395750868406</v>
      </c>
      <c r="P23" s="56">
        <f>P24+P31+P32+P36+P39+P40</f>
        <v>481.1</v>
      </c>
      <c r="Q23" s="56">
        <f>Q24+Q31+Q32+Q36+Q39+Q40</f>
        <v>571.4</v>
      </c>
      <c r="R23" s="56">
        <f>R24+R31+R32+R36+R39+R40</f>
        <v>560.6000000000001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2076.5</v>
      </c>
      <c r="D24" s="58">
        <f t="shared" si="11"/>
        <v>0</v>
      </c>
      <c r="E24" s="58">
        <f t="shared" si="11"/>
        <v>2076.5</v>
      </c>
      <c r="F24" s="58">
        <f t="shared" si="11"/>
        <v>2087.3</v>
      </c>
      <c r="G24" s="137">
        <f>SUM(G25:G30)</f>
        <v>1945.1</v>
      </c>
      <c r="H24" s="58">
        <f t="shared" si="11"/>
        <v>2463.4</v>
      </c>
      <c r="I24" s="59">
        <f t="shared" si="4"/>
        <v>1.1863231398988683</v>
      </c>
      <c r="J24" s="59">
        <f t="shared" si="5"/>
        <v>1.1801849278972836</v>
      </c>
      <c r="K24" s="137">
        <f>SUM(K25:K30)</f>
        <v>2276.1</v>
      </c>
      <c r="L24" s="59">
        <f t="shared" si="1"/>
        <v>1.082289881815386</v>
      </c>
      <c r="M24" s="137">
        <f>SUM(M25:M30)</f>
        <v>518.3</v>
      </c>
      <c r="N24" s="137">
        <f>SUM(N25:N30)</f>
        <v>318.8</v>
      </c>
      <c r="O24" s="59">
        <f t="shared" si="2"/>
        <v>1.6257841907151818</v>
      </c>
      <c r="P24" s="58">
        <f>SUM(P25:P30)</f>
        <v>481.1</v>
      </c>
      <c r="Q24" s="58">
        <f>SUM(Q25:Q30)</f>
        <v>571.4</v>
      </c>
      <c r="R24" s="58">
        <f>SUM(R25:R30)</f>
        <v>560.6000000000001</v>
      </c>
      <c r="S24" s="26"/>
    </row>
    <row r="25" spans="1:19" ht="18.75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1395</v>
      </c>
      <c r="D26" s="61"/>
      <c r="E26" s="61">
        <f t="shared" si="12"/>
        <v>1395</v>
      </c>
      <c r="F26" s="61">
        <f>60+420+420</f>
        <v>900</v>
      </c>
      <c r="G26" s="138">
        <v>1159.8</v>
      </c>
      <c r="H26" s="61">
        <f t="shared" si="13"/>
        <v>1330.5</v>
      </c>
      <c r="I26" s="62">
        <f t="shared" si="4"/>
        <v>0.953763440860215</v>
      </c>
      <c r="J26" s="62">
        <f t="shared" si="5"/>
        <v>1.4783333333333333</v>
      </c>
      <c r="K26" s="138">
        <v>1031</v>
      </c>
      <c r="L26" s="62">
        <f t="shared" si="1"/>
        <v>1.290494665373424</v>
      </c>
      <c r="M26" s="138">
        <v>170.7</v>
      </c>
      <c r="N26" s="138">
        <v>162</v>
      </c>
      <c r="O26" s="62">
        <f t="shared" si="2"/>
        <v>1.0537037037037036</v>
      </c>
      <c r="P26" s="183">
        <f>197.2+122.9</f>
        <v>320.1</v>
      </c>
      <c r="Q26" s="61">
        <f>307.7+263.7</f>
        <v>571.4</v>
      </c>
      <c r="R26" s="61">
        <f>361.1+155.8</f>
        <v>516.9000000000001</v>
      </c>
      <c r="S26" s="26"/>
    </row>
    <row r="27" spans="1:19" ht="18.75">
      <c r="A27" s="8" t="s">
        <v>59</v>
      </c>
      <c r="B27" s="8">
        <v>1110502505</v>
      </c>
      <c r="C27" s="60"/>
      <c r="D27" s="61"/>
      <c r="E27" s="61">
        <f t="shared" si="12"/>
        <v>0</v>
      </c>
      <c r="F27" s="61"/>
      <c r="G27" s="138">
        <v>0.6</v>
      </c>
      <c r="H27" s="61">
        <f t="shared" si="13"/>
        <v>0.6</v>
      </c>
      <c r="I27" s="62">
        <f t="shared" si="4"/>
        <v>0</v>
      </c>
      <c r="J27" s="62">
        <f t="shared" si="5"/>
        <v>0</v>
      </c>
      <c r="K27" s="138">
        <v>0.8</v>
      </c>
      <c r="L27" s="62">
        <f t="shared" si="1"/>
        <v>0.7499999999999999</v>
      </c>
      <c r="M27" s="138"/>
      <c r="N27" s="138">
        <v>-0.7</v>
      </c>
      <c r="O27" s="62">
        <f t="shared" si="2"/>
        <v>0</v>
      </c>
      <c r="P27" s="61"/>
      <c r="Q27" s="61"/>
      <c r="R27" s="61"/>
      <c r="S27" s="26"/>
    </row>
    <row r="28" spans="1:19" ht="18.75">
      <c r="A28" s="179" t="s">
        <v>60</v>
      </c>
      <c r="B28" s="8">
        <v>1110503505</v>
      </c>
      <c r="C28" s="60">
        <v>600</v>
      </c>
      <c r="D28" s="61"/>
      <c r="E28" s="61">
        <f t="shared" si="12"/>
        <v>600</v>
      </c>
      <c r="F28" s="61">
        <f>250+140+365+165.3+267</f>
        <v>1187.3</v>
      </c>
      <c r="G28" s="138">
        <v>378.8</v>
      </c>
      <c r="H28" s="61">
        <f t="shared" si="13"/>
        <v>426</v>
      </c>
      <c r="I28" s="62">
        <f t="shared" si="4"/>
        <v>0.71</v>
      </c>
      <c r="J28" s="62">
        <f t="shared" si="5"/>
        <v>0.35879727111934645</v>
      </c>
      <c r="K28" s="138">
        <v>538.4</v>
      </c>
      <c r="L28" s="62">
        <f t="shared" si="1"/>
        <v>0.7912332838038634</v>
      </c>
      <c r="M28" s="138">
        <v>47.2</v>
      </c>
      <c r="N28" s="138">
        <v>61.2</v>
      </c>
      <c r="O28" s="62">
        <f t="shared" si="2"/>
        <v>0.7712418300653595</v>
      </c>
      <c r="P28" s="183">
        <v>161</v>
      </c>
      <c r="Q28" s="61"/>
      <c r="R28" s="61">
        <v>43.7</v>
      </c>
      <c r="S28" s="26"/>
    </row>
    <row r="29" spans="1:19" ht="18.75">
      <c r="A29" s="8" t="s">
        <v>112</v>
      </c>
      <c r="B29" s="178">
        <v>1110507505</v>
      </c>
      <c r="C29" s="60">
        <v>81.5</v>
      </c>
      <c r="D29" s="61"/>
      <c r="E29" s="61">
        <f t="shared" si="12"/>
        <v>81.5</v>
      </c>
      <c r="F29" s="61"/>
      <c r="G29" s="138">
        <v>397.5</v>
      </c>
      <c r="H29" s="61">
        <f t="shared" si="13"/>
        <v>693.2</v>
      </c>
      <c r="I29" s="62">
        <f t="shared" si="4"/>
        <v>8.505521472392639</v>
      </c>
      <c r="J29" s="62"/>
      <c r="K29" s="138">
        <v>701.1</v>
      </c>
      <c r="L29" s="62">
        <f t="shared" si="1"/>
        <v>0.9887319925830838</v>
      </c>
      <c r="M29" s="138">
        <v>295.7</v>
      </c>
      <c r="N29" s="138">
        <v>94.8</v>
      </c>
      <c r="O29" s="62">
        <f t="shared" si="2"/>
        <v>3.119198312236287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38">
        <v>8.4</v>
      </c>
      <c r="H30" s="61">
        <f t="shared" si="13"/>
        <v>13.100000000000001</v>
      </c>
      <c r="I30" s="62">
        <f t="shared" si="4"/>
        <v>0</v>
      </c>
      <c r="J30" s="62">
        <f t="shared" si="5"/>
        <v>0</v>
      </c>
      <c r="K30" s="138">
        <v>4.8</v>
      </c>
      <c r="L30" s="62">
        <f t="shared" si="1"/>
        <v>2.729166666666667</v>
      </c>
      <c r="M30" s="138">
        <v>4.7</v>
      </c>
      <c r="N30" s="138">
        <v>1.5</v>
      </c>
      <c r="O30" s="62">
        <f t="shared" si="2"/>
        <v>3.1333333333333333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24.2</v>
      </c>
      <c r="D31" s="63"/>
      <c r="E31" s="63">
        <f t="shared" si="12"/>
        <v>24.2</v>
      </c>
      <c r="F31" s="63">
        <f>30+30+15</f>
        <v>75</v>
      </c>
      <c r="G31" s="139">
        <v>68.3</v>
      </c>
      <c r="H31" s="63">
        <f t="shared" si="13"/>
        <v>68.39999999999999</v>
      </c>
      <c r="I31" s="59">
        <f t="shared" si="4"/>
        <v>2.8264462809917354</v>
      </c>
      <c r="J31" s="59">
        <f t="shared" si="5"/>
        <v>0.9119999999999999</v>
      </c>
      <c r="K31" s="139">
        <v>25.9</v>
      </c>
      <c r="L31" s="59">
        <f t="shared" si="1"/>
        <v>2.6409266409266405</v>
      </c>
      <c r="M31" s="139">
        <v>0.1</v>
      </c>
      <c r="N31" s="139"/>
      <c r="O31" s="59">
        <f t="shared" si="2"/>
        <v>0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9070</v>
      </c>
      <c r="D32" s="58">
        <f t="shared" si="14"/>
        <v>300</v>
      </c>
      <c r="E32" s="58">
        <f t="shared" si="14"/>
        <v>9370</v>
      </c>
      <c r="F32" s="58">
        <f t="shared" si="14"/>
        <v>5703.4</v>
      </c>
      <c r="G32" s="137">
        <f>SUM(G33:G35)</f>
        <v>4396.200000000001</v>
      </c>
      <c r="H32" s="58">
        <f t="shared" si="14"/>
        <v>5073</v>
      </c>
      <c r="I32" s="59">
        <f t="shared" si="4"/>
        <v>0.5414087513340449</v>
      </c>
      <c r="J32" s="59">
        <f t="shared" si="5"/>
        <v>0.889469439281832</v>
      </c>
      <c r="K32" s="137">
        <f>SUM(K33:K35)</f>
        <v>4811.2</v>
      </c>
      <c r="L32" s="59">
        <f t="shared" si="1"/>
        <v>1.0544146990355836</v>
      </c>
      <c r="M32" s="137">
        <f>SUM(M33:M35)</f>
        <v>676.8000000000001</v>
      </c>
      <c r="N32" s="137">
        <f>SUM(N33:N35)</f>
        <v>597.8000000000001</v>
      </c>
      <c r="O32" s="59">
        <f t="shared" si="2"/>
        <v>1.1321512211441953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7890</v>
      </c>
      <c r="D33" s="61"/>
      <c r="E33" s="61">
        <f>C33+D33</f>
        <v>7890</v>
      </c>
      <c r="F33" s="61">
        <f>1963.4+1945+1295</f>
        <v>5203.4</v>
      </c>
      <c r="G33" s="138">
        <v>3962.5</v>
      </c>
      <c r="H33" s="61">
        <f>G33+M33</f>
        <v>4565.7</v>
      </c>
      <c r="I33" s="62">
        <f t="shared" si="4"/>
        <v>0.5786692015209125</v>
      </c>
      <c r="J33" s="62">
        <f t="shared" si="5"/>
        <v>0.8774455163931276</v>
      </c>
      <c r="K33" s="138">
        <v>4437.5</v>
      </c>
      <c r="L33" s="62">
        <f t="shared" si="1"/>
        <v>1.0288901408450704</v>
      </c>
      <c r="M33" s="138">
        <v>603.2</v>
      </c>
      <c r="N33" s="138">
        <v>584.1</v>
      </c>
      <c r="O33" s="62">
        <f t="shared" si="2"/>
        <v>1.0326998801575074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480</v>
      </c>
      <c r="D34" s="61"/>
      <c r="E34" s="61">
        <f>C34+D34</f>
        <v>480</v>
      </c>
      <c r="F34" s="61">
        <f>240+165+95</f>
        <v>500</v>
      </c>
      <c r="G34" s="138">
        <v>226.6</v>
      </c>
      <c r="H34" s="61">
        <f>G34+M34</f>
        <v>289.6</v>
      </c>
      <c r="I34" s="62">
        <f t="shared" si="4"/>
        <v>0.6033333333333334</v>
      </c>
      <c r="J34" s="62">
        <f t="shared" si="5"/>
        <v>0.5792</v>
      </c>
      <c r="K34" s="138">
        <v>325.9</v>
      </c>
      <c r="L34" s="62">
        <f t="shared" si="1"/>
        <v>0.888616139920221</v>
      </c>
      <c r="M34" s="138">
        <v>63</v>
      </c>
      <c r="N34" s="138">
        <v>13.7</v>
      </c>
      <c r="O34" s="62">
        <f t="shared" si="2"/>
        <v>4.598540145985401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>
        <v>700</v>
      </c>
      <c r="D35" s="61">
        <f>300</f>
        <v>300</v>
      </c>
      <c r="E35" s="61">
        <f>C35+D35</f>
        <v>1000</v>
      </c>
      <c r="F35" s="61"/>
      <c r="G35" s="138">
        <v>207.1</v>
      </c>
      <c r="H35" s="61">
        <f>G35+M35</f>
        <v>217.7</v>
      </c>
      <c r="I35" s="62">
        <f t="shared" si="4"/>
        <v>0.21769999999999998</v>
      </c>
      <c r="J35" s="62">
        <f t="shared" si="5"/>
        <v>0</v>
      </c>
      <c r="K35" s="138">
        <v>47.8</v>
      </c>
      <c r="L35" s="62">
        <f t="shared" si="1"/>
        <v>4.554393305439331</v>
      </c>
      <c r="M35" s="138">
        <v>10.6</v>
      </c>
      <c r="N35" s="138"/>
      <c r="O35" s="62">
        <f t="shared" si="2"/>
        <v>0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34120.065</v>
      </c>
      <c r="D36" s="58">
        <f t="shared" si="15"/>
        <v>10138.301000000001</v>
      </c>
      <c r="E36" s="58">
        <f t="shared" si="15"/>
        <v>44258.366</v>
      </c>
      <c r="F36" s="58">
        <f t="shared" si="15"/>
        <v>0</v>
      </c>
      <c r="G36" s="137">
        <f>G37+G38</f>
        <v>732.9</v>
      </c>
      <c r="H36" s="58">
        <f t="shared" si="15"/>
        <v>2942.2000000000003</v>
      </c>
      <c r="I36" s="59">
        <f t="shared" si="4"/>
        <v>0.06647782703952514</v>
      </c>
      <c r="J36" s="59">
        <f t="shared" si="5"/>
        <v>0</v>
      </c>
      <c r="K36" s="137">
        <f>K37+K38</f>
        <v>9093.6</v>
      </c>
      <c r="L36" s="59">
        <f t="shared" si="1"/>
        <v>0.3235462303158265</v>
      </c>
      <c r="M36" s="137">
        <f>M37+M38</f>
        <v>2209.3</v>
      </c>
      <c r="N36" s="137">
        <f>N37+N38</f>
        <v>0.1</v>
      </c>
      <c r="O36" s="59">
        <f>IF(N36&gt;0,M36/N36,0)</f>
        <v>22093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1140205305</v>
      </c>
      <c r="C37" s="60">
        <v>34085.065</v>
      </c>
      <c r="D37" s="61">
        <f>-8638.599+18776.9</f>
        <v>10138.301000000001</v>
      </c>
      <c r="E37" s="61">
        <f>C37+D37</f>
        <v>44223.366</v>
      </c>
      <c r="F37" s="61"/>
      <c r="G37" s="138">
        <v>773</v>
      </c>
      <c r="H37" s="61">
        <f>G37+M37</f>
        <v>2980.8</v>
      </c>
      <c r="I37" s="62">
        <f t="shared" si="4"/>
        <v>0.0674032817854706</v>
      </c>
      <c r="J37" s="62">
        <f t="shared" si="5"/>
        <v>0</v>
      </c>
      <c r="K37" s="138">
        <v>8361.1</v>
      </c>
      <c r="L37" s="62">
        <f t="shared" si="1"/>
        <v>0.35650811496095014</v>
      </c>
      <c r="M37" s="138">
        <v>2207.8</v>
      </c>
      <c r="N37" s="138"/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35</v>
      </c>
      <c r="D38" s="61"/>
      <c r="E38" s="61">
        <f>C38+D38</f>
        <v>35</v>
      </c>
      <c r="F38" s="61"/>
      <c r="G38" s="138">
        <v>-40.1</v>
      </c>
      <c r="H38" s="61">
        <f>G38+M38</f>
        <v>-38.6</v>
      </c>
      <c r="I38" s="62">
        <f t="shared" si="4"/>
        <v>-1.102857142857143</v>
      </c>
      <c r="J38" s="62">
        <f t="shared" si="5"/>
        <v>0</v>
      </c>
      <c r="K38" s="138">
        <v>732.5</v>
      </c>
      <c r="L38" s="62">
        <f t="shared" si="1"/>
        <v>-0.0526962457337884</v>
      </c>
      <c r="M38" s="138">
        <v>1.5</v>
      </c>
      <c r="N38" s="138">
        <v>0.1</v>
      </c>
      <c r="O38" s="62">
        <f t="shared" si="2"/>
        <v>15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45.1</v>
      </c>
      <c r="D39" s="63"/>
      <c r="E39" s="63">
        <f>C39+D39</f>
        <v>45.1</v>
      </c>
      <c r="F39" s="63">
        <f>38+45</f>
        <v>83</v>
      </c>
      <c r="G39" s="139">
        <v>1176.6</v>
      </c>
      <c r="H39" s="63">
        <f>G39+M39</f>
        <v>1247.1</v>
      </c>
      <c r="I39" s="59">
        <f t="shared" si="4"/>
        <v>27.651884700665185</v>
      </c>
      <c r="J39" s="59">
        <f t="shared" si="5"/>
        <v>15.025301204819277</v>
      </c>
      <c r="K39" s="139">
        <v>2164.4</v>
      </c>
      <c r="L39" s="59">
        <f t="shared" si="1"/>
        <v>0.5761873960450933</v>
      </c>
      <c r="M39" s="139">
        <v>70.5</v>
      </c>
      <c r="N39" s="139">
        <v>320.7</v>
      </c>
      <c r="O39" s="59">
        <f t="shared" si="2"/>
        <v>0.21983161833489243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SUM(C41:C43)</f>
        <v>599.28</v>
      </c>
      <c r="D40" s="58">
        <f t="shared" si="16"/>
        <v>0</v>
      </c>
      <c r="E40" s="58">
        <f t="shared" si="16"/>
        <v>599.28</v>
      </c>
      <c r="F40" s="58">
        <f t="shared" si="16"/>
        <v>0</v>
      </c>
      <c r="G40" s="58">
        <f>SUM(G41:G43)</f>
        <v>682.5999999999999</v>
      </c>
      <c r="H40" s="58">
        <f t="shared" si="16"/>
        <v>688.5</v>
      </c>
      <c r="I40" s="59">
        <f t="shared" si="4"/>
        <v>1.1488786543852623</v>
      </c>
      <c r="J40" s="59">
        <f t="shared" si="5"/>
        <v>0</v>
      </c>
      <c r="K40" s="58">
        <f>SUM(K41:K43)</f>
        <v>481.40000000000003</v>
      </c>
      <c r="L40" s="59">
        <f t="shared" si="1"/>
        <v>1.430203572912339</v>
      </c>
      <c r="M40" s="58">
        <f>SUM(M41:M43)</f>
        <v>5.9</v>
      </c>
      <c r="N40" s="58">
        <f>SUM(N41:N43)</f>
        <v>0.5</v>
      </c>
      <c r="O40" s="59">
        <f t="shared" si="2"/>
        <v>11.8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4.7</v>
      </c>
      <c r="H41" s="61">
        <f>G41+M41</f>
        <v>10.600000000000001</v>
      </c>
      <c r="I41" s="62">
        <f t="shared" si="4"/>
        <v>0</v>
      </c>
      <c r="J41" s="62">
        <f t="shared" si="5"/>
        <v>0</v>
      </c>
      <c r="K41" s="138">
        <v>0.1</v>
      </c>
      <c r="L41" s="62">
        <f t="shared" si="1"/>
        <v>106.00000000000001</v>
      </c>
      <c r="M41" s="138">
        <v>5.9</v>
      </c>
      <c r="N41" s="138"/>
      <c r="O41" s="62">
        <f t="shared" si="2"/>
        <v>0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>
        <v>0.1</v>
      </c>
      <c r="H42" s="61">
        <f>G42+M42</f>
        <v>0.1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19" ht="18.75">
      <c r="A43" s="45" t="s">
        <v>119</v>
      </c>
      <c r="B43" s="180">
        <v>1171503005</v>
      </c>
      <c r="C43" s="60">
        <v>599.28</v>
      </c>
      <c r="D43" s="61"/>
      <c r="E43" s="61">
        <f>C43+D43</f>
        <v>599.28</v>
      </c>
      <c r="F43" s="61"/>
      <c r="G43" s="138">
        <v>677.8</v>
      </c>
      <c r="H43" s="61">
        <f>G43+M43</f>
        <v>677.8</v>
      </c>
      <c r="I43" s="62">
        <f t="shared" si="4"/>
        <v>1.1310238953410758</v>
      </c>
      <c r="J43" s="62"/>
      <c r="K43" s="138">
        <v>481.3</v>
      </c>
      <c r="L43" s="62">
        <f t="shared" si="1"/>
        <v>1.4082692707251194</v>
      </c>
      <c r="M43" s="138"/>
      <c r="N43" s="138">
        <v>0.5</v>
      </c>
      <c r="O43" s="62">
        <f t="shared" si="2"/>
        <v>0</v>
      </c>
      <c r="P43" s="61"/>
      <c r="Q43" s="61"/>
      <c r="R43" s="61"/>
      <c r="S43" s="26"/>
    </row>
    <row r="44" spans="1:20" ht="18.75" customHeight="1">
      <c r="A44" s="43" t="s">
        <v>89</v>
      </c>
      <c r="B44" s="43">
        <v>1000000000</v>
      </c>
      <c r="C44" s="56">
        <f aca="true" t="shared" si="17" ref="C44:H44">C4+C23</f>
        <v>113456.04499999998</v>
      </c>
      <c r="D44" s="56">
        <f t="shared" si="17"/>
        <v>10572.901000000002</v>
      </c>
      <c r="E44" s="56">
        <f t="shared" si="17"/>
        <v>124028.946</v>
      </c>
      <c r="F44" s="56">
        <f t="shared" si="17"/>
        <v>36236.4</v>
      </c>
      <c r="G44" s="56">
        <f>G4+G23</f>
        <v>70021.4</v>
      </c>
      <c r="H44" s="121">
        <f t="shared" si="17"/>
        <v>76281.8</v>
      </c>
      <c r="I44" s="57">
        <f t="shared" si="4"/>
        <v>0.6150322361039817</v>
      </c>
      <c r="J44" s="57">
        <f t="shared" si="5"/>
        <v>2.1051152984292036</v>
      </c>
      <c r="K44" s="56">
        <f>K4+K23</f>
        <v>70297.4</v>
      </c>
      <c r="L44" s="57">
        <f t="shared" si="1"/>
        <v>1.0851297487531546</v>
      </c>
      <c r="M44" s="56">
        <f>M4+M23</f>
        <v>6260.4</v>
      </c>
      <c r="N44" s="56">
        <f>N4+N23</f>
        <v>3770.6</v>
      </c>
      <c r="O44" s="57">
        <f t="shared" si="2"/>
        <v>1.6603193125762477</v>
      </c>
      <c r="P44" s="56">
        <f>P4+P23</f>
        <v>658.3000000000001</v>
      </c>
      <c r="Q44" s="56">
        <f>Q4+Q23</f>
        <v>890</v>
      </c>
      <c r="R44" s="56">
        <f>R4+R23</f>
        <v>679.1000000000001</v>
      </c>
      <c r="S44" s="160"/>
      <c r="T44" s="159"/>
    </row>
    <row r="45" spans="1:19" ht="18.75" customHeight="1">
      <c r="A45" s="43" t="s">
        <v>91</v>
      </c>
      <c r="B45" s="43"/>
      <c r="C45" s="56">
        <f>C44-C9-7800</f>
        <v>96874.54499999998</v>
      </c>
      <c r="D45" s="56">
        <f>D44-D9</f>
        <v>10572.901000000002</v>
      </c>
      <c r="E45" s="56">
        <f>C45+D45</f>
        <v>107447.44599999998</v>
      </c>
      <c r="F45" s="56">
        <f>F44-F9-1728.4-1750</f>
        <v>27993</v>
      </c>
      <c r="G45" s="56">
        <f>G44-G9-3900.5</f>
        <v>59557.299999999996</v>
      </c>
      <c r="H45" s="121">
        <f aca="true" t="shared" si="18" ref="H45:H50">G45+M45</f>
        <v>64234.799999999996</v>
      </c>
      <c r="I45" s="57">
        <f>IF(E45&gt;0,H45/E45,0)</f>
        <v>0.5978252847443205</v>
      </c>
      <c r="J45" s="57">
        <f>IF(F45&gt;0,H45/F45,0)</f>
        <v>2.2946736684171043</v>
      </c>
      <c r="K45" s="56">
        <f>K44-K9-4367.8</f>
        <v>59748.19999999999</v>
      </c>
      <c r="L45" s="57">
        <f t="shared" si="1"/>
        <v>1.0750918019287612</v>
      </c>
      <c r="M45" s="56">
        <f>M44-M9-593.8</f>
        <v>4677.499999999999</v>
      </c>
      <c r="N45" s="56">
        <f>N44-N9-576.2</f>
        <v>2384.5</v>
      </c>
      <c r="O45" s="57">
        <f t="shared" si="2"/>
        <v>1.961627175508492</v>
      </c>
      <c r="P45" s="56"/>
      <c r="Q45" s="56"/>
      <c r="R45" s="56"/>
      <c r="S45" s="168"/>
    </row>
    <row r="46" spans="1:19" ht="18.75">
      <c r="A46" s="8" t="s">
        <v>36</v>
      </c>
      <c r="B46" s="8">
        <v>2000000000</v>
      </c>
      <c r="C46" s="60">
        <v>348234.12</v>
      </c>
      <c r="D46" s="131">
        <f>34680.163+3700-966.45</f>
        <v>37413.713</v>
      </c>
      <c r="E46" s="131">
        <f>C46+D46</f>
        <v>385647.833</v>
      </c>
      <c r="F46" s="61">
        <f>34850.65+571.1+470.1+38803.34</f>
        <v>74695.19</v>
      </c>
      <c r="G46" s="61">
        <v>182028.9</v>
      </c>
      <c r="H46" s="61">
        <f t="shared" si="18"/>
        <v>198790.3</v>
      </c>
      <c r="I46" s="62">
        <f t="shared" si="4"/>
        <v>0.5154710670965964</v>
      </c>
      <c r="J46" s="62">
        <f t="shared" si="5"/>
        <v>2.6613534285139377</v>
      </c>
      <c r="K46" s="61">
        <v>158664.6</v>
      </c>
      <c r="L46" s="62">
        <f t="shared" si="1"/>
        <v>1.2528963612551254</v>
      </c>
      <c r="M46" s="61">
        <v>16761.4</v>
      </c>
      <c r="N46" s="61">
        <v>12865.7</v>
      </c>
      <c r="O46" s="62">
        <f t="shared" si="2"/>
        <v>1.3027973604234515</v>
      </c>
      <c r="P46" s="61"/>
      <c r="Q46" s="61"/>
      <c r="R46" s="61"/>
      <c r="S46" s="163"/>
    </row>
    <row r="47" spans="1:18" ht="18.75">
      <c r="A47" s="8" t="s">
        <v>114</v>
      </c>
      <c r="B47" s="46" t="s">
        <v>102</v>
      </c>
      <c r="C47" s="60">
        <v>1045.22</v>
      </c>
      <c r="D47" s="61">
        <f>-1045.22+1000</f>
        <v>-45.22000000000003</v>
      </c>
      <c r="E47" s="61">
        <f>C47+D47</f>
        <v>1000</v>
      </c>
      <c r="F47" s="61"/>
      <c r="G47" s="61">
        <v>1003.3</v>
      </c>
      <c r="H47" s="61">
        <f t="shared" si="18"/>
        <v>1003.3</v>
      </c>
      <c r="I47" s="62">
        <f t="shared" si="4"/>
        <v>1.0032999999999999</v>
      </c>
      <c r="J47" s="62">
        <f t="shared" si="5"/>
        <v>0</v>
      </c>
      <c r="K47" s="61">
        <v>795</v>
      </c>
      <c r="L47" s="62">
        <f t="shared" si="1"/>
        <v>1.262012578616352</v>
      </c>
      <c r="M47" s="61"/>
      <c r="N47" s="61"/>
      <c r="O47" s="62">
        <f t="shared" si="2"/>
        <v>0</v>
      </c>
      <c r="P47" s="61"/>
      <c r="Q47" s="61"/>
      <c r="R47" s="61"/>
    </row>
    <row r="48" spans="1:18" ht="18.75">
      <c r="A48" s="8" t="s">
        <v>46</v>
      </c>
      <c r="B48" s="46" t="s">
        <v>37</v>
      </c>
      <c r="C48" s="60">
        <v>85.8</v>
      </c>
      <c r="D48" s="61"/>
      <c r="E48" s="61">
        <f>C48+D48</f>
        <v>85.8</v>
      </c>
      <c r="F48" s="61"/>
      <c r="G48" s="61">
        <v>105.3</v>
      </c>
      <c r="H48" s="61">
        <f t="shared" si="18"/>
        <v>106</v>
      </c>
      <c r="I48" s="62">
        <f t="shared" si="4"/>
        <v>1.2354312354312356</v>
      </c>
      <c r="J48" s="62"/>
      <c r="K48" s="61">
        <v>17</v>
      </c>
      <c r="L48" s="62">
        <f t="shared" si="1"/>
        <v>6.235294117647059</v>
      </c>
      <c r="M48" s="61">
        <v>0.7</v>
      </c>
      <c r="N48" s="61">
        <v>3.4</v>
      </c>
      <c r="O48" s="62"/>
      <c r="P48" s="61"/>
      <c r="Q48" s="61"/>
      <c r="R48" s="61"/>
    </row>
    <row r="49" spans="1:18" ht="18.75">
      <c r="A49" s="8" t="s">
        <v>126</v>
      </c>
      <c r="B49" s="46" t="s">
        <v>125</v>
      </c>
      <c r="C49" s="60"/>
      <c r="D49" s="61"/>
      <c r="E49" s="61"/>
      <c r="F49" s="61"/>
      <c r="G49" s="61">
        <v>-639.2</v>
      </c>
      <c r="H49" s="61">
        <f t="shared" si="18"/>
        <v>0</v>
      </c>
      <c r="I49" s="62"/>
      <c r="J49" s="62"/>
      <c r="K49" s="61"/>
      <c r="L49" s="62"/>
      <c r="M49" s="61">
        <v>639.2</v>
      </c>
      <c r="N49" s="61"/>
      <c r="O49" s="62"/>
      <c r="P49" s="61"/>
      <c r="Q49" s="61"/>
      <c r="R49" s="61"/>
    </row>
    <row r="50" spans="1:18" ht="18.75">
      <c r="A50" s="8" t="s">
        <v>93</v>
      </c>
      <c r="B50" s="46" t="s">
        <v>109</v>
      </c>
      <c r="C50" s="60"/>
      <c r="D50" s="131">
        <v>-22.126</v>
      </c>
      <c r="E50" s="131">
        <f>C50+D50</f>
        <v>-22.126</v>
      </c>
      <c r="F50" s="61"/>
      <c r="G50" s="61">
        <v>-22.1</v>
      </c>
      <c r="H50" s="61">
        <f t="shared" si="18"/>
        <v>-22.1</v>
      </c>
      <c r="I50" s="62">
        <f t="shared" si="4"/>
        <v>0</v>
      </c>
      <c r="J50" s="62"/>
      <c r="K50" s="61">
        <v>-2.7</v>
      </c>
      <c r="L50" s="62">
        <f t="shared" si="1"/>
        <v>0</v>
      </c>
      <c r="M50" s="61"/>
      <c r="N50" s="61"/>
      <c r="O50" s="62">
        <f t="shared" si="2"/>
        <v>0</v>
      </c>
      <c r="P50" s="61"/>
      <c r="Q50" s="61"/>
      <c r="R50" s="61"/>
    </row>
    <row r="51" spans="1:19" ht="18.75">
      <c r="A51" s="43" t="s">
        <v>2</v>
      </c>
      <c r="B51" s="43">
        <v>0</v>
      </c>
      <c r="C51" s="164">
        <f>C44+C46+C47+C48+C50</f>
        <v>462821.18499999994</v>
      </c>
      <c r="D51" s="164">
        <f>D44+D46+D47+D48+D50</f>
        <v>47919.268000000004</v>
      </c>
      <c r="E51" s="164">
        <f>E44+E46+E47+E48+E50</f>
        <v>510740.453</v>
      </c>
      <c r="F51" s="121">
        <f>F44+F46+F47</f>
        <v>110931.59</v>
      </c>
      <c r="G51" s="121">
        <f>G44+G46+G47+G48+G50+G49</f>
        <v>252497.59999999995</v>
      </c>
      <c r="H51" s="121">
        <f>H44+H46+H47+H50+H48</f>
        <v>276159.3</v>
      </c>
      <c r="I51" s="57">
        <f t="shared" si="4"/>
        <v>0.5407037926561106</v>
      </c>
      <c r="J51" s="57">
        <f t="shared" si="5"/>
        <v>2.4894558889852747</v>
      </c>
      <c r="K51" s="121">
        <f>K44+K46+K47+K50+K48</f>
        <v>229771.3</v>
      </c>
      <c r="L51" s="57">
        <f t="shared" si="1"/>
        <v>1.2018877031204507</v>
      </c>
      <c r="M51" s="121">
        <f>M44+M46+M47+M50+M48+M49</f>
        <v>23661.700000000004</v>
      </c>
      <c r="N51" s="121">
        <f>N44+N46+N47+N50+N48</f>
        <v>16639.7</v>
      </c>
      <c r="O51" s="57">
        <f t="shared" si="2"/>
        <v>1.4220028005312597</v>
      </c>
      <c r="P51" s="56">
        <f>P44+P46+P47</f>
        <v>658.3000000000001</v>
      </c>
      <c r="Q51" s="56">
        <f>Q44+Q46+Q47</f>
        <v>890</v>
      </c>
      <c r="R51" s="56">
        <f>R44+R46+R47</f>
        <v>679.1000000000001</v>
      </c>
      <c r="S51" s="140"/>
    </row>
    <row r="52" spans="1:19" ht="19.5" customHeight="1">
      <c r="A52" s="3"/>
      <c r="B52" s="3"/>
      <c r="C52" s="3"/>
      <c r="S52" s="169"/>
    </row>
    <row r="53" spans="1:8" ht="20.25">
      <c r="A53" s="3"/>
      <c r="B53" s="3"/>
      <c r="C53" s="3"/>
      <c r="E53" s="140"/>
      <c r="G53" s="132"/>
      <c r="H53" s="140"/>
    </row>
    <row r="54" spans="1:3" ht="12.75">
      <c r="A54" s="3"/>
      <c r="B54" s="3"/>
      <c r="C54" s="3"/>
    </row>
    <row r="55" spans="1:8" ht="12.75">
      <c r="A55" s="3"/>
      <c r="B55" s="3"/>
      <c r="C55" s="3"/>
      <c r="H55" s="140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0" sqref="R10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50"/>
      <c r="P1" s="26"/>
      <c r="Q1" s="26"/>
      <c r="R1" s="26"/>
    </row>
    <row r="2" spans="1:18" ht="15.75">
      <c r="A2" s="26"/>
      <c r="B2" s="193" t="s">
        <v>129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3.5" customHeight="1" thickBot="1">
      <c r="A3" s="188" t="s">
        <v>3</v>
      </c>
      <c r="B3" s="190" t="s">
        <v>4</v>
      </c>
      <c r="C3" s="187" t="s">
        <v>115</v>
      </c>
      <c r="D3" s="187" t="s">
        <v>24</v>
      </c>
      <c r="E3" s="187" t="s">
        <v>116</v>
      </c>
      <c r="F3" s="187" t="s">
        <v>99</v>
      </c>
      <c r="G3" s="187" t="s">
        <v>120</v>
      </c>
      <c r="H3" s="187" t="s">
        <v>117</v>
      </c>
      <c r="I3" s="187"/>
      <c r="J3" s="187"/>
      <c r="K3" s="187" t="s">
        <v>113</v>
      </c>
      <c r="L3" s="187"/>
      <c r="M3" s="187" t="s">
        <v>123</v>
      </c>
      <c r="N3" s="187" t="s">
        <v>124</v>
      </c>
      <c r="O3" s="187" t="s">
        <v>30</v>
      </c>
      <c r="P3" s="187" t="s">
        <v>9</v>
      </c>
      <c r="Q3" s="187"/>
      <c r="R3" s="187"/>
    </row>
    <row r="4" spans="1:21" ht="111" customHeight="1" thickBot="1">
      <c r="A4" s="189"/>
      <c r="B4" s="191"/>
      <c r="C4" s="187"/>
      <c r="D4" s="187"/>
      <c r="E4" s="187"/>
      <c r="F4" s="187"/>
      <c r="G4" s="187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7"/>
      <c r="N4" s="187"/>
      <c r="O4" s="187"/>
      <c r="P4" s="122" t="s">
        <v>118</v>
      </c>
      <c r="Q4" s="122" t="s">
        <v>121</v>
      </c>
      <c r="R4" s="122" t="s">
        <v>128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9055.3</v>
      </c>
      <c r="D5" s="89">
        <f t="shared" si="0"/>
        <v>420</v>
      </c>
      <c r="E5" s="89">
        <f t="shared" si="0"/>
        <v>9475.3</v>
      </c>
      <c r="F5" s="89">
        <f t="shared" si="0"/>
        <v>0</v>
      </c>
      <c r="G5" s="89">
        <f t="shared" si="0"/>
        <v>5935.599999999999</v>
      </c>
      <c r="H5" s="162">
        <f t="shared" si="0"/>
        <v>6664.7</v>
      </c>
      <c r="I5" s="90">
        <f>IF(E5&gt;0,H5/E5,0)</f>
        <v>0.7033761464016971</v>
      </c>
      <c r="J5" s="90">
        <f>IF(F5&gt;0,H5/F5,0)</f>
        <v>0</v>
      </c>
      <c r="K5" s="89">
        <f>K6+K15+K17+K22+K10</f>
        <v>5472.8</v>
      </c>
      <c r="L5" s="90">
        <f aca="true" t="shared" si="1" ref="L5:L48">IF(K5&gt;0,H5/K5,0)</f>
        <v>1.2177861423768455</v>
      </c>
      <c r="M5" s="89">
        <f>M6+M15+M17+M22+M10</f>
        <v>729.0999999999999</v>
      </c>
      <c r="N5" s="89">
        <f>N6+N15+N17+N22+N10</f>
        <v>596.4000000000001</v>
      </c>
      <c r="O5" s="90">
        <f aca="true" t="shared" si="2" ref="O5:O21">IF(N5&gt;0,M5/N5,0)</f>
        <v>1.2225016767270285</v>
      </c>
      <c r="P5" s="89">
        <f>P6+P15+P17+P22+P10</f>
        <v>364.7</v>
      </c>
      <c r="Q5" s="89">
        <f>Q6+Q15+Q17+Q22+Q10</f>
        <v>258.9</v>
      </c>
      <c r="R5" s="89">
        <f>R6+R15+R17+R22+R10</f>
        <v>221.29999999999998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5628</v>
      </c>
      <c r="D6" s="72">
        <f t="shared" si="3"/>
        <v>0</v>
      </c>
      <c r="E6" s="72">
        <f t="shared" si="3"/>
        <v>5628</v>
      </c>
      <c r="F6" s="72">
        <f t="shared" si="3"/>
        <v>0</v>
      </c>
      <c r="G6" s="72">
        <f t="shared" si="3"/>
        <v>3664.5000000000005</v>
      </c>
      <c r="H6" s="72">
        <f t="shared" si="3"/>
        <v>4160</v>
      </c>
      <c r="I6" s="87">
        <f aca="true" t="shared" si="4" ref="I6:I48">IF(E6&gt;0,H6/E6,0)</f>
        <v>0.7391613361762616</v>
      </c>
      <c r="J6" s="87">
        <f>IF(F6&gt;0,H6/F6,0)</f>
        <v>0</v>
      </c>
      <c r="K6" s="72">
        <f>K7+K8+K9</f>
        <v>3846</v>
      </c>
      <c r="L6" s="87">
        <f t="shared" si="1"/>
        <v>1.0816432657306292</v>
      </c>
      <c r="M6" s="72">
        <f>M7+M8+M9</f>
        <v>495.5</v>
      </c>
      <c r="N6" s="72">
        <f>N7+N8+N9</f>
        <v>427.6</v>
      </c>
      <c r="O6" s="87">
        <f t="shared" si="2"/>
        <v>1.1587932647333956</v>
      </c>
      <c r="P6" s="72">
        <f>P7+P8+P9</f>
        <v>2.4</v>
      </c>
      <c r="Q6" s="72">
        <f>Q7+Q8+Q9</f>
        <v>25.299999999999997</v>
      </c>
      <c r="R6" s="72">
        <f>R7+R8+R9</f>
        <v>10.100000000000001</v>
      </c>
      <c r="V6" s="167"/>
    </row>
    <row r="7" spans="1:22" ht="18">
      <c r="A7" s="10" t="s">
        <v>44</v>
      </c>
      <c r="B7" s="13">
        <v>1010201001</v>
      </c>
      <c r="C7" s="71">
        <v>5589</v>
      </c>
      <c r="D7" s="68"/>
      <c r="E7" s="71">
        <f>C7+D7</f>
        <v>5589</v>
      </c>
      <c r="F7" s="71"/>
      <c r="G7" s="68">
        <v>3586.8</v>
      </c>
      <c r="H7" s="68">
        <f>G7+M7</f>
        <v>4082.2000000000003</v>
      </c>
      <c r="I7" s="77">
        <f t="shared" si="4"/>
        <v>0.7303989980318483</v>
      </c>
      <c r="J7" s="77">
        <f aca="true" t="shared" si="5" ref="J7:J48">IF(F7&gt;0,H7/F7,0)</f>
        <v>0</v>
      </c>
      <c r="K7" s="68">
        <v>3803.7</v>
      </c>
      <c r="L7" s="77">
        <f t="shared" si="1"/>
        <v>1.0732181822961855</v>
      </c>
      <c r="M7" s="68">
        <v>495.4</v>
      </c>
      <c r="N7" s="68">
        <v>423.6</v>
      </c>
      <c r="O7" s="77">
        <f t="shared" si="2"/>
        <v>1.1694995278564682</v>
      </c>
      <c r="P7" s="71">
        <v>0.4</v>
      </c>
      <c r="Q7" s="71">
        <v>19.7</v>
      </c>
      <c r="R7" s="71">
        <v>4.7</v>
      </c>
      <c r="V7" s="167"/>
    </row>
    <row r="8" spans="1:22" ht="18">
      <c r="A8" s="10" t="s">
        <v>43</v>
      </c>
      <c r="B8" s="13">
        <v>1010202001</v>
      </c>
      <c r="C8" s="68">
        <v>18</v>
      </c>
      <c r="D8" s="68"/>
      <c r="E8" s="71">
        <f>C8+D8</f>
        <v>18</v>
      </c>
      <c r="F8" s="71"/>
      <c r="G8" s="71">
        <v>36.9</v>
      </c>
      <c r="H8" s="68">
        <f>G8+M8</f>
        <v>36.9</v>
      </c>
      <c r="I8" s="77">
        <f t="shared" si="4"/>
        <v>2.05</v>
      </c>
      <c r="J8" s="77">
        <f t="shared" si="5"/>
        <v>0</v>
      </c>
      <c r="K8" s="71">
        <v>15.4</v>
      </c>
      <c r="L8" s="77">
        <f t="shared" si="1"/>
        <v>2.396103896103896</v>
      </c>
      <c r="M8" s="71"/>
      <c r="N8" s="71">
        <v>-0.1</v>
      </c>
      <c r="O8" s="77">
        <f>IF(N8&gt;0,M8/N8,0)</f>
        <v>0</v>
      </c>
      <c r="P8" s="71"/>
      <c r="Q8" s="71"/>
      <c r="R8" s="71"/>
      <c r="V8" s="167"/>
    </row>
    <row r="9" spans="1:22" ht="18">
      <c r="A9" s="10" t="s">
        <v>42</v>
      </c>
      <c r="B9" s="13">
        <v>1010203001</v>
      </c>
      <c r="C9" s="68">
        <v>21</v>
      </c>
      <c r="D9" s="71"/>
      <c r="E9" s="71">
        <f>C9+D9</f>
        <v>21</v>
      </c>
      <c r="F9" s="71"/>
      <c r="G9" s="71">
        <v>40.8</v>
      </c>
      <c r="H9" s="68">
        <f>G9+M9</f>
        <v>40.9</v>
      </c>
      <c r="I9" s="77">
        <f t="shared" si="4"/>
        <v>1.9476190476190476</v>
      </c>
      <c r="J9" s="77">
        <f t="shared" si="5"/>
        <v>0</v>
      </c>
      <c r="K9" s="71">
        <v>26.9</v>
      </c>
      <c r="L9" s="77">
        <f t="shared" si="1"/>
        <v>1.5204460966542752</v>
      </c>
      <c r="M9" s="71">
        <v>0.1</v>
      </c>
      <c r="N9" s="71">
        <v>4.1</v>
      </c>
      <c r="O9" s="77">
        <f t="shared" si="2"/>
        <v>0.02439024390243903</v>
      </c>
      <c r="P9" s="71">
        <v>2</v>
      </c>
      <c r="Q9" s="71">
        <v>5.6</v>
      </c>
      <c r="R9" s="71">
        <v>5.4</v>
      </c>
      <c r="V9" s="167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1489.3</v>
      </c>
      <c r="D10" s="72">
        <f t="shared" si="6"/>
        <v>0</v>
      </c>
      <c r="E10" s="72">
        <f t="shared" si="6"/>
        <v>1489.3</v>
      </c>
      <c r="F10" s="72">
        <f t="shared" si="6"/>
        <v>0</v>
      </c>
      <c r="G10" s="72">
        <f>G11+G12+G13+G14</f>
        <v>1113.2</v>
      </c>
      <c r="H10" s="72">
        <f t="shared" si="6"/>
        <v>1281</v>
      </c>
      <c r="I10" s="87">
        <f>IF(E10&gt;0,H10/E10,0)</f>
        <v>0.8601356341905594</v>
      </c>
      <c r="J10" s="87">
        <f>IF(F10&gt;0,H10/F10,0)</f>
        <v>0</v>
      </c>
      <c r="K10" s="72">
        <f>K11+K12+K13+K14</f>
        <v>1047</v>
      </c>
      <c r="L10" s="87">
        <f t="shared" si="1"/>
        <v>1.2234957020057307</v>
      </c>
      <c r="M10" s="72">
        <f>M11+M12+M13+M14</f>
        <v>167.8</v>
      </c>
      <c r="N10" s="72">
        <f>N11+N12+N13+N14</f>
        <v>137.20000000000002</v>
      </c>
      <c r="O10" s="87">
        <f t="shared" si="2"/>
        <v>1.2230320699708455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7"/>
    </row>
    <row r="11" spans="1:22" ht="18.75" customHeight="1">
      <c r="A11" s="12" t="s">
        <v>49</v>
      </c>
      <c r="B11" s="12">
        <v>1030223101</v>
      </c>
      <c r="C11" s="71">
        <v>673.4</v>
      </c>
      <c r="D11" s="71"/>
      <c r="E11" s="166">
        <f>C11+D11</f>
        <v>673.4</v>
      </c>
      <c r="F11" s="67"/>
      <c r="G11" s="71">
        <v>546.3</v>
      </c>
      <c r="H11" s="69">
        <f>G11+M11</f>
        <v>626.3</v>
      </c>
      <c r="I11" s="70">
        <f>IF(E11&gt;0,H11/E11,0)</f>
        <v>0.93005643005643</v>
      </c>
      <c r="J11" s="70">
        <f>IF(F11&gt;0,H11/F11,0)</f>
        <v>0</v>
      </c>
      <c r="K11" s="71">
        <v>474.9</v>
      </c>
      <c r="L11" s="70">
        <f t="shared" si="1"/>
        <v>1.3188039587281533</v>
      </c>
      <c r="M11" s="71">
        <v>80</v>
      </c>
      <c r="N11" s="71">
        <v>63.7</v>
      </c>
      <c r="O11" s="70">
        <f t="shared" si="2"/>
        <v>1.2558869701726845</v>
      </c>
      <c r="P11" s="71"/>
      <c r="Q11" s="71"/>
      <c r="R11" s="71"/>
      <c r="V11" s="167"/>
    </row>
    <row r="12" spans="1:22" ht="18" customHeight="1">
      <c r="A12" s="12" t="s">
        <v>50</v>
      </c>
      <c r="B12" s="12">
        <v>1030224101</v>
      </c>
      <c r="C12" s="71">
        <v>3.7</v>
      </c>
      <c r="D12" s="71"/>
      <c r="E12" s="166">
        <f>C12+D12</f>
        <v>3.7</v>
      </c>
      <c r="F12" s="67"/>
      <c r="G12" s="71">
        <v>3.2</v>
      </c>
      <c r="H12" s="69">
        <f>G12+M12</f>
        <v>3.6</v>
      </c>
      <c r="I12" s="70">
        <f>IF(E12&gt;0,H12/E12,0)</f>
        <v>0.9729729729729729</v>
      </c>
      <c r="J12" s="70">
        <f>IF(F12&gt;0,H12/F12,0)</f>
        <v>0</v>
      </c>
      <c r="K12" s="71">
        <v>3.4</v>
      </c>
      <c r="L12" s="70">
        <f t="shared" si="1"/>
        <v>1.0588235294117647</v>
      </c>
      <c r="M12" s="71">
        <v>0.4</v>
      </c>
      <c r="N12" s="71">
        <v>0.3</v>
      </c>
      <c r="O12" s="70">
        <f t="shared" si="2"/>
        <v>1.3333333333333335</v>
      </c>
      <c r="P12" s="71"/>
      <c r="Q12" s="71"/>
      <c r="R12" s="71"/>
      <c r="V12" s="167"/>
    </row>
    <row r="13" spans="1:22" ht="18.75" customHeight="1">
      <c r="A13" s="12" t="s">
        <v>51</v>
      </c>
      <c r="B13" s="12">
        <v>1030225101</v>
      </c>
      <c r="C13" s="71">
        <v>896.6</v>
      </c>
      <c r="D13" s="71"/>
      <c r="E13" s="166">
        <f>C13+D13</f>
        <v>896.6</v>
      </c>
      <c r="F13" s="67"/>
      <c r="G13" s="71">
        <v>627.3</v>
      </c>
      <c r="H13" s="69">
        <f>G13+M13</f>
        <v>721</v>
      </c>
      <c r="I13" s="70">
        <f>IF(E13&gt;0,H13/E13,0)</f>
        <v>0.804149007361142</v>
      </c>
      <c r="J13" s="70">
        <f>IF(F13&gt;0,H13/F13,0)</f>
        <v>0</v>
      </c>
      <c r="K13" s="71">
        <v>652.5</v>
      </c>
      <c r="L13" s="70">
        <f t="shared" si="1"/>
        <v>1.1049808429118775</v>
      </c>
      <c r="M13" s="71">
        <v>93.7</v>
      </c>
      <c r="N13" s="71">
        <v>81.9</v>
      </c>
      <c r="O13" s="70">
        <f t="shared" si="2"/>
        <v>1.144078144078144</v>
      </c>
      <c r="P13" s="71"/>
      <c r="Q13" s="71"/>
      <c r="R13" s="71"/>
      <c r="V13" s="167"/>
    </row>
    <row r="14" spans="1:22" ht="18" customHeight="1">
      <c r="A14" s="12" t="s">
        <v>52</v>
      </c>
      <c r="B14" s="12">
        <v>1030226101</v>
      </c>
      <c r="C14" s="71">
        <v>-84.4</v>
      </c>
      <c r="D14" s="71"/>
      <c r="E14" s="166">
        <f>C14+D14</f>
        <v>-84.4</v>
      </c>
      <c r="F14" s="67"/>
      <c r="G14" s="71">
        <v>-63.6</v>
      </c>
      <c r="H14" s="69">
        <f>G14+M14</f>
        <v>-69.9</v>
      </c>
      <c r="I14" s="70">
        <f>H14/E14</f>
        <v>0.8281990521327014</v>
      </c>
      <c r="J14" s="70">
        <f>IF(F14&gt;0,H14/F14,0)</f>
        <v>0</v>
      </c>
      <c r="K14" s="71">
        <v>-83.8</v>
      </c>
      <c r="L14" s="70">
        <f t="shared" si="1"/>
        <v>0</v>
      </c>
      <c r="M14" s="71">
        <v>-6.3</v>
      </c>
      <c r="N14" s="71">
        <v>-8.7</v>
      </c>
      <c r="O14" s="70">
        <f t="shared" si="2"/>
        <v>0</v>
      </c>
      <c r="P14" s="71"/>
      <c r="Q14" s="71"/>
      <c r="R14" s="71"/>
      <c r="V14" s="167"/>
    </row>
    <row r="15" spans="1:22" ht="18">
      <c r="A15" s="9" t="s">
        <v>70</v>
      </c>
      <c r="B15" s="30">
        <v>1050000000</v>
      </c>
      <c r="C15" s="72">
        <f aca="true" t="shared" si="7" ref="C15:H15">C16</f>
        <v>22</v>
      </c>
      <c r="D15" s="73">
        <f t="shared" si="7"/>
        <v>420</v>
      </c>
      <c r="E15" s="73">
        <f t="shared" si="7"/>
        <v>442</v>
      </c>
      <c r="F15" s="73">
        <f t="shared" si="7"/>
        <v>0</v>
      </c>
      <c r="G15" s="72">
        <f>G16</f>
        <v>443</v>
      </c>
      <c r="H15" s="73">
        <f t="shared" si="7"/>
        <v>443</v>
      </c>
      <c r="I15" s="66">
        <f t="shared" si="4"/>
        <v>1.002262443438914</v>
      </c>
      <c r="J15" s="66">
        <f t="shared" si="5"/>
        <v>0</v>
      </c>
      <c r="K15" s="72">
        <f>K16</f>
        <v>-0.3</v>
      </c>
      <c r="L15" s="66">
        <f t="shared" si="1"/>
        <v>0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7"/>
    </row>
    <row r="16" spans="1:22" ht="18">
      <c r="A16" s="13" t="s">
        <v>7</v>
      </c>
      <c r="B16" s="13">
        <v>1050300001</v>
      </c>
      <c r="C16" s="71">
        <v>22</v>
      </c>
      <c r="D16" s="83">
        <f>270+150</f>
        <v>420</v>
      </c>
      <c r="E16" s="67">
        <f>C16+D16</f>
        <v>442</v>
      </c>
      <c r="F16" s="67"/>
      <c r="G16" s="71">
        <v>443</v>
      </c>
      <c r="H16" s="69">
        <f>G16+M16</f>
        <v>443</v>
      </c>
      <c r="I16" s="70">
        <f t="shared" si="4"/>
        <v>1.002262443438914</v>
      </c>
      <c r="J16" s="70">
        <f t="shared" si="5"/>
        <v>0</v>
      </c>
      <c r="K16" s="71">
        <v>-0.3</v>
      </c>
      <c r="L16" s="70">
        <f t="shared" si="1"/>
        <v>0</v>
      </c>
      <c r="M16" s="71"/>
      <c r="N16" s="71"/>
      <c r="O16" s="70">
        <f t="shared" si="2"/>
        <v>0</v>
      </c>
      <c r="P16" s="71"/>
      <c r="Q16" s="71"/>
      <c r="R16" s="71"/>
      <c r="V16" s="167"/>
    </row>
    <row r="17" spans="1:22" ht="18">
      <c r="A17" s="9" t="s">
        <v>71</v>
      </c>
      <c r="B17" s="30">
        <v>1060000000</v>
      </c>
      <c r="C17" s="72">
        <f aca="true" t="shared" si="8" ref="C17:H17">C18+C21</f>
        <v>1916</v>
      </c>
      <c r="D17" s="73">
        <f t="shared" si="8"/>
        <v>0</v>
      </c>
      <c r="E17" s="129">
        <f t="shared" si="8"/>
        <v>1916</v>
      </c>
      <c r="F17" s="73">
        <f t="shared" si="8"/>
        <v>0</v>
      </c>
      <c r="G17" s="73">
        <f>G18+G21</f>
        <v>714.9</v>
      </c>
      <c r="H17" s="73">
        <f t="shared" si="8"/>
        <v>780.7</v>
      </c>
      <c r="I17" s="66">
        <f t="shared" si="4"/>
        <v>0.4074634655532359</v>
      </c>
      <c r="J17" s="66">
        <f t="shared" si="5"/>
        <v>0</v>
      </c>
      <c r="K17" s="73">
        <f>K18+K21</f>
        <v>580.1</v>
      </c>
      <c r="L17" s="66">
        <f t="shared" si="1"/>
        <v>1.3458024478538184</v>
      </c>
      <c r="M17" s="73">
        <f>M18+M21</f>
        <v>65.8</v>
      </c>
      <c r="N17" s="73">
        <f>N18+N21</f>
        <v>31.6</v>
      </c>
      <c r="O17" s="66">
        <f t="shared" si="2"/>
        <v>2.0822784810126582</v>
      </c>
      <c r="P17" s="72">
        <f>P18+P21</f>
        <v>362.3</v>
      </c>
      <c r="Q17" s="72">
        <f>Q18+Q21</f>
        <v>233.6</v>
      </c>
      <c r="R17" s="72">
        <f>R18+R21</f>
        <v>211.2</v>
      </c>
      <c r="V17" s="167"/>
    </row>
    <row r="18" spans="1:22" ht="18">
      <c r="A18" s="13" t="s">
        <v>13</v>
      </c>
      <c r="B18" s="13">
        <v>1060600000</v>
      </c>
      <c r="C18" s="68">
        <f aca="true" t="shared" si="9" ref="C18:H18">C19+C20</f>
        <v>1122</v>
      </c>
      <c r="D18" s="68">
        <f t="shared" si="9"/>
        <v>0</v>
      </c>
      <c r="E18" s="68">
        <f t="shared" si="9"/>
        <v>1122</v>
      </c>
      <c r="F18" s="68">
        <f t="shared" si="9"/>
        <v>0</v>
      </c>
      <c r="G18" s="74">
        <f>G19+G20</f>
        <v>667.1</v>
      </c>
      <c r="H18" s="68">
        <f t="shared" si="9"/>
        <v>692</v>
      </c>
      <c r="I18" s="70">
        <f t="shared" si="4"/>
        <v>0.6167557932263814</v>
      </c>
      <c r="J18" s="70">
        <f t="shared" si="5"/>
        <v>0</v>
      </c>
      <c r="K18" s="74">
        <f>K19+K20</f>
        <v>377.8</v>
      </c>
      <c r="L18" s="70">
        <f t="shared" si="1"/>
        <v>1.8316569613552143</v>
      </c>
      <c r="M18" s="74">
        <f>M19+M20</f>
        <v>24.9</v>
      </c>
      <c r="N18" s="74">
        <f>N19+N20</f>
        <v>23</v>
      </c>
      <c r="O18" s="70">
        <f t="shared" si="2"/>
        <v>1.0826086956521739</v>
      </c>
      <c r="P18" s="71">
        <f>P19+P20</f>
        <v>130.4</v>
      </c>
      <c r="Q18" s="71">
        <f>Q19+Q20</f>
        <v>95.5</v>
      </c>
      <c r="R18" s="71">
        <f>R19+R20</f>
        <v>90.69999999999999</v>
      </c>
      <c r="V18" s="167"/>
    </row>
    <row r="19" spans="1:22" ht="18">
      <c r="A19" s="13" t="s">
        <v>100</v>
      </c>
      <c r="B19" s="13">
        <v>1060603313</v>
      </c>
      <c r="C19" s="71">
        <v>562</v>
      </c>
      <c r="D19" s="68"/>
      <c r="E19" s="69">
        <f>C19+D19</f>
        <v>562</v>
      </c>
      <c r="F19" s="67"/>
      <c r="G19" s="71">
        <v>631.2</v>
      </c>
      <c r="H19" s="69">
        <f>G19+M19</f>
        <v>647.6</v>
      </c>
      <c r="I19" s="70">
        <f t="shared" si="4"/>
        <v>1.1523131672597866</v>
      </c>
      <c r="J19" s="70">
        <f t="shared" si="5"/>
        <v>0</v>
      </c>
      <c r="K19" s="71">
        <v>309</v>
      </c>
      <c r="L19" s="70">
        <f t="shared" si="1"/>
        <v>2.0957928802589</v>
      </c>
      <c r="M19" s="71">
        <v>16.4</v>
      </c>
      <c r="N19" s="71">
        <v>3.6</v>
      </c>
      <c r="O19" s="70">
        <f t="shared" si="2"/>
        <v>4.555555555555555</v>
      </c>
      <c r="P19" s="71"/>
      <c r="Q19" s="71">
        <v>4</v>
      </c>
      <c r="R19" s="71">
        <v>0.1</v>
      </c>
      <c r="V19" s="167"/>
    </row>
    <row r="20" spans="1:22" ht="18">
      <c r="A20" s="13" t="s">
        <v>101</v>
      </c>
      <c r="B20" s="13">
        <v>1060604313</v>
      </c>
      <c r="C20" s="71">
        <v>560</v>
      </c>
      <c r="D20" s="68"/>
      <c r="E20" s="67">
        <f>C20+D20</f>
        <v>560</v>
      </c>
      <c r="F20" s="67"/>
      <c r="G20" s="71">
        <v>35.9</v>
      </c>
      <c r="H20" s="69">
        <f>G20+M20</f>
        <v>44.4</v>
      </c>
      <c r="I20" s="70">
        <f t="shared" si="4"/>
        <v>0.07928571428571428</v>
      </c>
      <c r="J20" s="70">
        <f t="shared" si="5"/>
        <v>0</v>
      </c>
      <c r="K20" s="71">
        <v>68.8</v>
      </c>
      <c r="L20" s="70">
        <f t="shared" si="1"/>
        <v>0.6453488372093024</v>
      </c>
      <c r="M20" s="71">
        <v>8.5</v>
      </c>
      <c r="N20" s="71">
        <v>19.4</v>
      </c>
      <c r="O20" s="70">
        <f t="shared" si="2"/>
        <v>0.43814432989690727</v>
      </c>
      <c r="P20" s="71">
        <v>130.4</v>
      </c>
      <c r="Q20" s="71">
        <v>91.5</v>
      </c>
      <c r="R20" s="71">
        <v>90.6</v>
      </c>
      <c r="V20" s="167"/>
    </row>
    <row r="21" spans="1:22" ht="18">
      <c r="A21" s="13" t="s">
        <v>12</v>
      </c>
      <c r="B21" s="13">
        <v>1060103013</v>
      </c>
      <c r="C21" s="71">
        <v>794</v>
      </c>
      <c r="D21" s="68"/>
      <c r="E21" s="67">
        <f>C21+D21</f>
        <v>794</v>
      </c>
      <c r="F21" s="67"/>
      <c r="G21" s="71">
        <v>47.8</v>
      </c>
      <c r="H21" s="69">
        <f>G21+M21</f>
        <v>88.69999999999999</v>
      </c>
      <c r="I21" s="70">
        <f t="shared" si="4"/>
        <v>0.11171284634760704</v>
      </c>
      <c r="J21" s="70">
        <f t="shared" si="5"/>
        <v>0</v>
      </c>
      <c r="K21" s="71">
        <v>202.3</v>
      </c>
      <c r="L21" s="70">
        <f t="shared" si="1"/>
        <v>0.43845773603559063</v>
      </c>
      <c r="M21" s="71">
        <v>40.9</v>
      </c>
      <c r="N21" s="71">
        <v>8.6</v>
      </c>
      <c r="O21" s="70">
        <f t="shared" si="2"/>
        <v>4.7558139534883725</v>
      </c>
      <c r="P21" s="71">
        <v>231.9</v>
      </c>
      <c r="Q21" s="71">
        <v>138.1</v>
      </c>
      <c r="R21" s="71">
        <v>120.5</v>
      </c>
      <c r="V21" s="167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7"/>
    </row>
    <row r="23" spans="1:22" ht="18">
      <c r="A23" s="14" t="s">
        <v>22</v>
      </c>
      <c r="B23" s="32"/>
      <c r="C23" s="76">
        <f>C24+C30+C33+C37+C38</f>
        <v>2674</v>
      </c>
      <c r="D23" s="76">
        <f>D24+D30+D33+D37+D38</f>
        <v>787.3810000000001</v>
      </c>
      <c r="E23" s="76">
        <f>E24+E32+E35+E38+E37+E34+E31+E36</f>
        <v>3461.3810000000003</v>
      </c>
      <c r="F23" s="76">
        <f>F24+F32+F35+F38+F37+F34+F31+F36</f>
        <v>0</v>
      </c>
      <c r="G23" s="76">
        <f>G24+G30+G33+G37+G38</f>
        <v>2098.1</v>
      </c>
      <c r="H23" s="76">
        <f>H24+H32+H35+H38+H37+H34+H31+H36</f>
        <v>2279.6</v>
      </c>
      <c r="I23" s="64">
        <f t="shared" si="4"/>
        <v>0.6585810692321936</v>
      </c>
      <c r="J23" s="64">
        <f t="shared" si="5"/>
        <v>0</v>
      </c>
      <c r="K23" s="76">
        <f>K24+K30+K33+K37+K38</f>
        <v>1804.2</v>
      </c>
      <c r="L23" s="64">
        <f t="shared" si="1"/>
        <v>1.2634962864427446</v>
      </c>
      <c r="M23" s="76">
        <f>M24+M30+M33+M37+M38</f>
        <v>181.50000000000003</v>
      </c>
      <c r="N23" s="76">
        <f>N24+N30+N33+N37+N38</f>
        <v>171.79999999999998</v>
      </c>
      <c r="O23" s="64">
        <f t="shared" si="10"/>
        <v>1.0564610011641447</v>
      </c>
      <c r="P23" s="86">
        <f>P24+P31+P34+P37+P36+P33</f>
        <v>123</v>
      </c>
      <c r="Q23" s="76">
        <f>Q24+Q31+Q34+Q37+Q36+Q33</f>
        <v>263.7</v>
      </c>
      <c r="R23" s="76">
        <f>R24+R31+R34+R37+R36+R33</f>
        <v>155.8</v>
      </c>
      <c r="V23" s="167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1827</v>
      </c>
      <c r="D24" s="72">
        <f t="shared" si="11"/>
        <v>0</v>
      </c>
      <c r="E24" s="72">
        <f t="shared" si="11"/>
        <v>1827</v>
      </c>
      <c r="F24" s="72">
        <f t="shared" si="11"/>
        <v>0</v>
      </c>
      <c r="G24" s="72">
        <f>G25+G28+G29+G26+G27</f>
        <v>1120.6</v>
      </c>
      <c r="H24" s="72">
        <f t="shared" si="11"/>
        <v>1298.3</v>
      </c>
      <c r="I24" s="66">
        <f t="shared" si="4"/>
        <v>0.7106185002736727</v>
      </c>
      <c r="J24" s="66">
        <f t="shared" si="5"/>
        <v>0</v>
      </c>
      <c r="K24" s="72">
        <f>K25+K28+K29+K26+K27</f>
        <v>1060.5</v>
      </c>
      <c r="L24" s="66">
        <f t="shared" si="1"/>
        <v>1.2242338519566243</v>
      </c>
      <c r="M24" s="72">
        <f>M25+M28+M29+M26+M27</f>
        <v>177.70000000000002</v>
      </c>
      <c r="N24" s="72">
        <f>N25+N28+N29+N26+N27</f>
        <v>160.9</v>
      </c>
      <c r="O24" s="66">
        <f t="shared" si="10"/>
        <v>1.1044126786824116</v>
      </c>
      <c r="P24" s="73">
        <f>P25+P27+P28</f>
        <v>123</v>
      </c>
      <c r="Q24" s="72">
        <f>Q25+Q27+Q28</f>
        <v>263.7</v>
      </c>
      <c r="R24" s="72">
        <f>R25+R27+R28</f>
        <v>155.8</v>
      </c>
      <c r="V24" s="167"/>
    </row>
    <row r="25" spans="1:22" ht="18.75">
      <c r="A25" s="54" t="s">
        <v>97</v>
      </c>
      <c r="B25" s="13">
        <v>1110501313</v>
      </c>
      <c r="C25" s="71">
        <v>960</v>
      </c>
      <c r="D25" s="68"/>
      <c r="E25" s="67">
        <f aca="true" t="shared" si="12" ref="E25:E34">C25+D25</f>
        <v>960</v>
      </c>
      <c r="F25" s="67"/>
      <c r="G25" s="71">
        <v>555</v>
      </c>
      <c r="H25" s="69">
        <f aca="true" t="shared" si="13" ref="H25:H37">G25+M25</f>
        <v>663</v>
      </c>
      <c r="I25" s="70">
        <f t="shared" si="4"/>
        <v>0.690625</v>
      </c>
      <c r="J25" s="70">
        <f t="shared" si="5"/>
        <v>0</v>
      </c>
      <c r="K25" s="71">
        <v>479.1</v>
      </c>
      <c r="L25" s="70">
        <f t="shared" si="1"/>
        <v>1.3838447088290544</v>
      </c>
      <c r="M25" s="71">
        <v>108</v>
      </c>
      <c r="N25" s="71">
        <v>61.2</v>
      </c>
      <c r="O25" s="70">
        <f t="shared" si="10"/>
        <v>1.7647058823529411</v>
      </c>
      <c r="P25" s="183">
        <v>123</v>
      </c>
      <c r="Q25" s="61">
        <v>263.7</v>
      </c>
      <c r="R25" s="61">
        <v>155.8</v>
      </c>
      <c r="V25" s="167"/>
    </row>
    <row r="26" spans="1:22" ht="18.75">
      <c r="A26" s="13" t="s">
        <v>98</v>
      </c>
      <c r="B26" s="13">
        <v>1110502513</v>
      </c>
      <c r="C26" s="71">
        <v>27</v>
      </c>
      <c r="D26" s="83"/>
      <c r="E26" s="67">
        <f t="shared" si="12"/>
        <v>27</v>
      </c>
      <c r="F26" s="67"/>
      <c r="G26" s="71">
        <v>3.8</v>
      </c>
      <c r="H26" s="69">
        <f>G26+M26</f>
        <v>4.6</v>
      </c>
      <c r="I26" s="70">
        <f>IF(E26&gt;0,H26/E26,0)</f>
        <v>0.17037037037037037</v>
      </c>
      <c r="J26" s="70"/>
      <c r="K26" s="71">
        <v>5.1</v>
      </c>
      <c r="L26" s="70">
        <f t="shared" si="1"/>
        <v>0.9019607843137255</v>
      </c>
      <c r="M26" s="71">
        <v>0.8</v>
      </c>
      <c r="N26" s="71">
        <v>3.9</v>
      </c>
      <c r="O26" s="70">
        <f t="shared" si="10"/>
        <v>0.20512820512820515</v>
      </c>
      <c r="P26" s="61"/>
      <c r="Q26" s="61"/>
      <c r="R26" s="61"/>
      <c r="V26" s="167"/>
    </row>
    <row r="27" spans="1:22" ht="18.75">
      <c r="A27" s="13" t="s">
        <v>110</v>
      </c>
      <c r="B27" s="13">
        <v>1110507513</v>
      </c>
      <c r="C27" s="71">
        <v>330</v>
      </c>
      <c r="D27" s="83"/>
      <c r="E27" s="67">
        <f t="shared" si="12"/>
        <v>330</v>
      </c>
      <c r="F27" s="67"/>
      <c r="G27" s="71">
        <v>248.8</v>
      </c>
      <c r="H27" s="69">
        <f>G27+M27</f>
        <v>279.2</v>
      </c>
      <c r="I27" s="70">
        <f>IF(E27&gt;0,H27/E27,0)</f>
        <v>0.8460606060606061</v>
      </c>
      <c r="J27" s="70"/>
      <c r="K27" s="71">
        <v>240.6</v>
      </c>
      <c r="L27" s="70"/>
      <c r="M27" s="71">
        <v>30.4</v>
      </c>
      <c r="N27" s="71">
        <v>26.8</v>
      </c>
      <c r="O27" s="70"/>
      <c r="P27" s="61"/>
      <c r="Q27" s="61"/>
      <c r="R27" s="61"/>
      <c r="V27" s="167"/>
    </row>
    <row r="28" spans="1:22" ht="18">
      <c r="A28" s="13" t="s">
        <v>23</v>
      </c>
      <c r="B28" s="13">
        <v>1110904513</v>
      </c>
      <c r="C28" s="71">
        <v>510</v>
      </c>
      <c r="D28" s="83"/>
      <c r="E28" s="67">
        <f t="shared" si="12"/>
        <v>510</v>
      </c>
      <c r="F28" s="67"/>
      <c r="G28" s="71">
        <v>313</v>
      </c>
      <c r="H28" s="69">
        <f t="shared" si="13"/>
        <v>351.5</v>
      </c>
      <c r="I28" s="70">
        <f t="shared" si="4"/>
        <v>0.6892156862745098</v>
      </c>
      <c r="J28" s="70">
        <f t="shared" si="5"/>
        <v>0</v>
      </c>
      <c r="K28" s="71">
        <v>335.7</v>
      </c>
      <c r="L28" s="70">
        <f t="shared" si="1"/>
        <v>1.0470658325886208</v>
      </c>
      <c r="M28" s="71">
        <v>38.5</v>
      </c>
      <c r="N28" s="71">
        <v>69</v>
      </c>
      <c r="O28" s="70">
        <f t="shared" si="10"/>
        <v>0.5579710144927537</v>
      </c>
      <c r="P28" s="71"/>
      <c r="Q28" s="71"/>
      <c r="R28" s="71"/>
      <c r="V28" s="167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7"/>
    </row>
    <row r="30" spans="1:22" ht="18.75">
      <c r="A30" s="146" t="s">
        <v>66</v>
      </c>
      <c r="B30" s="148">
        <v>1130000000</v>
      </c>
      <c r="C30" s="133">
        <f>C31+C32</f>
        <v>27</v>
      </c>
      <c r="D30" s="133">
        <f>D31+D32</f>
        <v>0</v>
      </c>
      <c r="E30" s="134">
        <f>C30+D30</f>
        <v>27</v>
      </c>
      <c r="F30" s="134"/>
      <c r="G30" s="133">
        <f>G31+G32</f>
        <v>18.9</v>
      </c>
      <c r="H30" s="147">
        <f t="shared" si="13"/>
        <v>19.7</v>
      </c>
      <c r="I30" s="135">
        <f t="shared" si="4"/>
        <v>0.7296296296296296</v>
      </c>
      <c r="J30" s="135"/>
      <c r="K30" s="133">
        <f>K31+K32</f>
        <v>0</v>
      </c>
      <c r="L30" s="135">
        <f t="shared" si="1"/>
        <v>0</v>
      </c>
      <c r="M30" s="133">
        <f>M31+M32</f>
        <v>0.8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7"/>
    </row>
    <row r="31" spans="1:22" ht="18">
      <c r="A31" s="45" t="s">
        <v>103</v>
      </c>
      <c r="B31" s="15">
        <v>1130206513</v>
      </c>
      <c r="C31" s="142">
        <v>27</v>
      </c>
      <c r="D31" s="142"/>
      <c r="E31" s="143">
        <f t="shared" si="12"/>
        <v>27</v>
      </c>
      <c r="F31" s="143"/>
      <c r="G31" s="142">
        <v>18.9</v>
      </c>
      <c r="H31" s="144">
        <f t="shared" si="13"/>
        <v>19.7</v>
      </c>
      <c r="I31" s="145">
        <f t="shared" si="4"/>
        <v>0.7296296296296296</v>
      </c>
      <c r="J31" s="145"/>
      <c r="K31" s="142"/>
      <c r="L31" s="145">
        <f t="shared" si="1"/>
        <v>0</v>
      </c>
      <c r="M31" s="142">
        <v>0.8</v>
      </c>
      <c r="N31" s="142"/>
      <c r="O31" s="145">
        <f t="shared" si="10"/>
        <v>0</v>
      </c>
      <c r="P31" s="142"/>
      <c r="Q31" s="142"/>
      <c r="R31" s="142"/>
      <c r="V31" s="167"/>
    </row>
    <row r="32" spans="1:22" ht="18">
      <c r="A32" s="15" t="s">
        <v>38</v>
      </c>
      <c r="B32" s="15">
        <v>1130299513</v>
      </c>
      <c r="C32" s="142"/>
      <c r="D32" s="142"/>
      <c r="E32" s="143">
        <f t="shared" si="12"/>
        <v>0</v>
      </c>
      <c r="F32" s="143"/>
      <c r="G32" s="142"/>
      <c r="H32" s="144">
        <f t="shared" si="13"/>
        <v>0</v>
      </c>
      <c r="I32" s="145">
        <f t="shared" si="4"/>
        <v>0</v>
      </c>
      <c r="J32" s="145">
        <f t="shared" si="5"/>
        <v>0</v>
      </c>
      <c r="K32" s="142"/>
      <c r="L32" s="145">
        <f t="shared" si="1"/>
        <v>0</v>
      </c>
      <c r="M32" s="142"/>
      <c r="N32" s="142"/>
      <c r="O32" s="145">
        <f t="shared" si="10"/>
        <v>0</v>
      </c>
      <c r="P32" s="142"/>
      <c r="Q32" s="142"/>
      <c r="R32" s="142"/>
      <c r="V32" s="167"/>
    </row>
    <row r="33" spans="1:22" ht="18.75">
      <c r="A33" s="146" t="s">
        <v>67</v>
      </c>
      <c r="B33" s="148">
        <v>1140000000</v>
      </c>
      <c r="C33" s="151">
        <f>C34+C35+C36</f>
        <v>800</v>
      </c>
      <c r="D33" s="151">
        <f>D34+D35+D36</f>
        <v>143.05599999999998</v>
      </c>
      <c r="E33" s="134">
        <f t="shared" si="12"/>
        <v>943.056</v>
      </c>
      <c r="F33" s="134"/>
      <c r="G33" s="151">
        <f>G34+G35+G36</f>
        <v>304.29999999999995</v>
      </c>
      <c r="H33" s="147">
        <f t="shared" si="13"/>
        <v>305.79999999999995</v>
      </c>
      <c r="I33" s="135">
        <f>IF(E33&gt;0,H33/E33,0)</f>
        <v>0.32426494290901064</v>
      </c>
      <c r="J33" s="135"/>
      <c r="K33" s="151">
        <f>K34+K35+K36</f>
        <v>732.5</v>
      </c>
      <c r="L33" s="135">
        <f>IF(K33&gt;0,H33/K33,0)</f>
        <v>0.41747440273037534</v>
      </c>
      <c r="M33" s="151">
        <f>M34+M35+M36</f>
        <v>1.5</v>
      </c>
      <c r="N33" s="151">
        <f>N34+N35+N36</f>
        <v>0.2</v>
      </c>
      <c r="O33" s="135">
        <f t="shared" si="10"/>
        <v>7.5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7"/>
    </row>
    <row r="34" spans="1:22" ht="18">
      <c r="A34" s="15" t="s">
        <v>75</v>
      </c>
      <c r="B34" s="15">
        <v>1140205313</v>
      </c>
      <c r="C34" s="142">
        <v>300</v>
      </c>
      <c r="D34" s="142"/>
      <c r="E34" s="143">
        <f t="shared" si="12"/>
        <v>300</v>
      </c>
      <c r="F34" s="143"/>
      <c r="G34" s="142">
        <v>256.4</v>
      </c>
      <c r="H34" s="144">
        <f t="shared" si="13"/>
        <v>256.4</v>
      </c>
      <c r="I34" s="145">
        <f>IF(E34&gt;0,H34/E34,0)</f>
        <v>0.8546666666666666</v>
      </c>
      <c r="J34" s="145">
        <f>IF(F34&gt;0,H34/F34,0)</f>
        <v>0</v>
      </c>
      <c r="K34" s="142"/>
      <c r="L34" s="145">
        <f>IF(K34&gt;0,H34/K34,0)</f>
        <v>0</v>
      </c>
      <c r="M34" s="142"/>
      <c r="N34" s="142"/>
      <c r="O34" s="145">
        <f t="shared" si="10"/>
        <v>0</v>
      </c>
      <c r="P34" s="142"/>
      <c r="Q34" s="142"/>
      <c r="R34" s="142"/>
      <c r="V34" s="167"/>
    </row>
    <row r="35" spans="1:22" ht="18">
      <c r="A35" s="15" t="s">
        <v>104</v>
      </c>
      <c r="B35" s="15">
        <v>1140601313</v>
      </c>
      <c r="C35" s="142">
        <v>500</v>
      </c>
      <c r="D35" s="142">
        <f>-360+413.056</f>
        <v>53.05599999999998</v>
      </c>
      <c r="E35" s="185">
        <f>C35+D35</f>
        <v>553.056</v>
      </c>
      <c r="F35" s="144"/>
      <c r="G35" s="142">
        <v>-40.1</v>
      </c>
      <c r="H35" s="144">
        <f t="shared" si="13"/>
        <v>-38.6</v>
      </c>
      <c r="I35" s="145">
        <f t="shared" si="4"/>
        <v>-0.0697940172423769</v>
      </c>
      <c r="J35" s="145">
        <f t="shared" si="5"/>
        <v>0</v>
      </c>
      <c r="K35" s="142">
        <v>732.5</v>
      </c>
      <c r="L35" s="145">
        <f t="shared" si="1"/>
        <v>-0.0526962457337884</v>
      </c>
      <c r="M35" s="142">
        <v>1.5</v>
      </c>
      <c r="N35" s="142">
        <v>0.2</v>
      </c>
      <c r="O35" s="145">
        <f t="shared" si="10"/>
        <v>7.5</v>
      </c>
      <c r="P35" s="142"/>
      <c r="Q35" s="142"/>
      <c r="R35" s="142"/>
      <c r="V35" s="167"/>
    </row>
    <row r="36" spans="1:22" ht="18">
      <c r="A36" s="15" t="s">
        <v>105</v>
      </c>
      <c r="B36" s="150">
        <v>1140602513</v>
      </c>
      <c r="C36" s="149"/>
      <c r="D36" s="142">
        <v>90</v>
      </c>
      <c r="E36" s="144">
        <f>C36+D36</f>
        <v>90</v>
      </c>
      <c r="F36" s="144"/>
      <c r="G36" s="142">
        <v>88</v>
      </c>
      <c r="H36" s="144">
        <f t="shared" si="13"/>
        <v>88</v>
      </c>
      <c r="I36" s="145">
        <f t="shared" si="4"/>
        <v>0.9777777777777777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7"/>
    </row>
    <row r="37" spans="1:22" ht="18">
      <c r="A37" s="9" t="s">
        <v>77</v>
      </c>
      <c r="B37" s="55">
        <v>1160000000</v>
      </c>
      <c r="C37" s="72">
        <v>20</v>
      </c>
      <c r="D37" s="72"/>
      <c r="E37" s="85">
        <f>C37+D37</f>
        <v>20</v>
      </c>
      <c r="F37" s="75"/>
      <c r="G37" s="72">
        <v>8.6</v>
      </c>
      <c r="H37" s="75">
        <f t="shared" si="13"/>
        <v>10.1</v>
      </c>
      <c r="I37" s="66">
        <f t="shared" si="4"/>
        <v>0.505</v>
      </c>
      <c r="J37" s="66">
        <f t="shared" si="5"/>
        <v>0</v>
      </c>
      <c r="K37" s="72">
        <v>11.2</v>
      </c>
      <c r="L37" s="66">
        <f t="shared" si="1"/>
        <v>0.9017857142857143</v>
      </c>
      <c r="M37" s="72">
        <v>1.5</v>
      </c>
      <c r="N37" s="72">
        <v>10.7</v>
      </c>
      <c r="O37" s="66">
        <f t="shared" si="10"/>
        <v>0.14018691588785048</v>
      </c>
      <c r="P37" s="72"/>
      <c r="Q37" s="72"/>
      <c r="R37" s="72"/>
      <c r="V37" s="167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>SUM(D39:D41)</f>
        <v>644.325</v>
      </c>
      <c r="E38" s="72">
        <f>SUM(E39:E41)</f>
        <v>644.325</v>
      </c>
      <c r="F38" s="72">
        <f>SUM(F39:F40)</f>
        <v>0</v>
      </c>
      <c r="G38" s="72">
        <f>SUM(G39:G41)</f>
        <v>645.7</v>
      </c>
      <c r="H38" s="73">
        <f>SUM(H39:H41)</f>
        <v>645.7</v>
      </c>
      <c r="I38" s="66">
        <f t="shared" si="4"/>
        <v>1.0021340162185233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SUM(M39:M41)</f>
        <v>0</v>
      </c>
      <c r="N38" s="72">
        <f>SUM(N39:N40)</f>
        <v>0</v>
      </c>
      <c r="O38" s="72">
        <f>SUM(O39:O40)</f>
        <v>0</v>
      </c>
      <c r="P38" s="72">
        <f>SUM(P39:P40)</f>
        <v>0</v>
      </c>
      <c r="Q38" s="72">
        <f>SUM(Q39:Q40)</f>
        <v>0</v>
      </c>
      <c r="R38" s="72">
        <f>SUM(R39:R40)</f>
        <v>0</v>
      </c>
      <c r="V38" s="167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4" ref="O39:O48">IF(N39&gt;0,M39/N39,0)</f>
        <v>0</v>
      </c>
      <c r="P39" s="77"/>
      <c r="Q39" s="77"/>
      <c r="R39" s="77"/>
      <c r="V39" s="167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4"/>
        <v>0</v>
      </c>
      <c r="P40" s="71"/>
      <c r="Q40" s="71"/>
      <c r="R40" s="71"/>
      <c r="V40" s="167"/>
    </row>
    <row r="41" spans="1:22" ht="18">
      <c r="A41" s="45" t="s">
        <v>119</v>
      </c>
      <c r="B41" s="13">
        <v>1171503013</v>
      </c>
      <c r="C41" s="71"/>
      <c r="D41" s="83">
        <v>644.325</v>
      </c>
      <c r="E41" s="67">
        <f>C41+D41</f>
        <v>644.325</v>
      </c>
      <c r="F41" s="67"/>
      <c r="G41" s="71">
        <v>645.7</v>
      </c>
      <c r="H41" s="69">
        <f>G41+M41</f>
        <v>645.7</v>
      </c>
      <c r="I41" s="70">
        <f>IF(E41&gt;0,H41/E41,0)</f>
        <v>1.0021340162185233</v>
      </c>
      <c r="J41" s="70"/>
      <c r="K41" s="71"/>
      <c r="L41" s="70">
        <f>IF(K41&gt;0,H41/K41,0)</f>
        <v>0</v>
      </c>
      <c r="M41" s="71"/>
      <c r="N41" s="71"/>
      <c r="O41" s="70">
        <f t="shared" si="14"/>
        <v>0</v>
      </c>
      <c r="P41" s="71"/>
      <c r="Q41" s="71"/>
      <c r="R41" s="71"/>
      <c r="V41" s="167"/>
    </row>
    <row r="42" spans="1:22" ht="18">
      <c r="A42" s="9" t="s">
        <v>6</v>
      </c>
      <c r="B42" s="9">
        <v>1000000000</v>
      </c>
      <c r="C42" s="78">
        <f aca="true" t="shared" si="15" ref="C42:H42">C5+C23</f>
        <v>11729.3</v>
      </c>
      <c r="D42" s="78">
        <f t="shared" si="15"/>
        <v>1207.381</v>
      </c>
      <c r="E42" s="78">
        <f t="shared" si="15"/>
        <v>12936.681</v>
      </c>
      <c r="F42" s="79">
        <f t="shared" si="15"/>
        <v>0</v>
      </c>
      <c r="G42" s="79">
        <f>G5+G23</f>
        <v>8033.699999999999</v>
      </c>
      <c r="H42" s="79">
        <f t="shared" si="15"/>
        <v>8944.3</v>
      </c>
      <c r="I42" s="80">
        <f t="shared" si="4"/>
        <v>0.6913906279361761</v>
      </c>
      <c r="J42" s="80">
        <f t="shared" si="5"/>
        <v>0</v>
      </c>
      <c r="K42" s="79">
        <f>K5+K23</f>
        <v>7277</v>
      </c>
      <c r="L42" s="80">
        <f t="shared" si="1"/>
        <v>1.2291191425037788</v>
      </c>
      <c r="M42" s="79">
        <f>M5+M23</f>
        <v>910.5999999999999</v>
      </c>
      <c r="N42" s="79">
        <f>N5+N23</f>
        <v>768.2</v>
      </c>
      <c r="O42" s="80">
        <f t="shared" si="14"/>
        <v>1.1853683936474875</v>
      </c>
      <c r="P42" s="79">
        <f>P5+P23</f>
        <v>487.7</v>
      </c>
      <c r="Q42" s="79">
        <f>Q5+Q23</f>
        <v>522.5999999999999</v>
      </c>
      <c r="R42" s="123">
        <f>R5+R23</f>
        <v>377.1</v>
      </c>
      <c r="V42" s="167"/>
    </row>
    <row r="43" spans="1:22" ht="18">
      <c r="A43" s="9" t="s">
        <v>92</v>
      </c>
      <c r="B43" s="9"/>
      <c r="C43" s="78">
        <f aca="true" t="shared" si="16" ref="C43:H43">C42-C10</f>
        <v>10240</v>
      </c>
      <c r="D43" s="78">
        <f t="shared" si="16"/>
        <v>1207.381</v>
      </c>
      <c r="E43" s="78">
        <f t="shared" si="16"/>
        <v>11447.381000000001</v>
      </c>
      <c r="F43" s="79">
        <f t="shared" si="16"/>
        <v>0</v>
      </c>
      <c r="G43" s="79">
        <f>G42-G10</f>
        <v>6920.499999999999</v>
      </c>
      <c r="H43" s="79">
        <f t="shared" si="16"/>
        <v>7663.299999999999</v>
      </c>
      <c r="I43" s="80">
        <f>IF(E43&gt;0,H43/E43,0)</f>
        <v>0.6694369655382308</v>
      </c>
      <c r="J43" s="80">
        <f>IF(F43&gt;0,H43/F43,0)</f>
        <v>0</v>
      </c>
      <c r="K43" s="79">
        <f>K42-K10</f>
        <v>6230</v>
      </c>
      <c r="L43" s="80">
        <f t="shared" si="1"/>
        <v>1.2300642054574638</v>
      </c>
      <c r="M43" s="79">
        <f>M42-M10</f>
        <v>742.8</v>
      </c>
      <c r="N43" s="79">
        <f>N42-N10</f>
        <v>631</v>
      </c>
      <c r="O43" s="80">
        <f t="shared" si="14"/>
        <v>1.1771790808240887</v>
      </c>
      <c r="P43" s="79"/>
      <c r="Q43" s="79"/>
      <c r="R43" s="123"/>
      <c r="V43" s="167"/>
    </row>
    <row r="44" spans="1:22" ht="18">
      <c r="A44" s="13" t="s">
        <v>36</v>
      </c>
      <c r="B44" s="13">
        <v>2000000000</v>
      </c>
      <c r="C44" s="83">
        <v>27507.95</v>
      </c>
      <c r="D44" s="83">
        <f>3000+1944.5-4042.25+6885.15</f>
        <v>7787.4</v>
      </c>
      <c r="E44" s="166">
        <f>C44+D44</f>
        <v>35295.35</v>
      </c>
      <c r="F44" s="67"/>
      <c r="G44" s="71">
        <v>19976.2</v>
      </c>
      <c r="H44" s="68">
        <f>G44+M44</f>
        <v>22211.7</v>
      </c>
      <c r="I44" s="70">
        <f t="shared" si="4"/>
        <v>0.6293095266090293</v>
      </c>
      <c r="J44" s="70">
        <f t="shared" si="5"/>
        <v>0</v>
      </c>
      <c r="K44" s="71">
        <v>1189.5</v>
      </c>
      <c r="L44" s="70">
        <f t="shared" si="1"/>
        <v>18.67313997477932</v>
      </c>
      <c r="M44" s="71">
        <v>2235.5</v>
      </c>
      <c r="N44" s="71">
        <v>77.8</v>
      </c>
      <c r="O44" s="70">
        <f t="shared" si="14"/>
        <v>28.73393316195373</v>
      </c>
      <c r="P44" s="71"/>
      <c r="Q44" s="71"/>
      <c r="R44" s="71"/>
      <c r="V44" s="167"/>
    </row>
    <row r="45" spans="1:22" ht="18">
      <c r="A45" s="13" t="s">
        <v>46</v>
      </c>
      <c r="B45" s="34" t="s">
        <v>95</v>
      </c>
      <c r="C45" s="71"/>
      <c r="D45" s="83"/>
      <c r="E45" s="67">
        <f>C45+D45</f>
        <v>0</v>
      </c>
      <c r="F45" s="67"/>
      <c r="G45" s="71"/>
      <c r="H45" s="68">
        <f>G45+M45</f>
        <v>0</v>
      </c>
      <c r="I45" s="70">
        <f>IF(E45&gt;0,H45/E45,0)</f>
        <v>0</v>
      </c>
      <c r="J45" s="70">
        <f>IF(F45&gt;0,H45/F45,0)</f>
        <v>0</v>
      </c>
      <c r="K45" s="71"/>
      <c r="L45" s="70">
        <f t="shared" si="1"/>
        <v>0</v>
      </c>
      <c r="M45" s="71"/>
      <c r="N45" s="71"/>
      <c r="O45" s="70">
        <f t="shared" si="14"/>
        <v>0</v>
      </c>
      <c r="P45" s="71"/>
      <c r="Q45" s="71"/>
      <c r="R45" s="71"/>
      <c r="V45" s="167"/>
    </row>
    <row r="46" spans="1:22" ht="18">
      <c r="A46" s="8" t="s">
        <v>108</v>
      </c>
      <c r="B46" s="158" t="s">
        <v>111</v>
      </c>
      <c r="C46" s="71"/>
      <c r="D46" s="83"/>
      <c r="E46" s="67">
        <f>C46+D46</f>
        <v>0</v>
      </c>
      <c r="F46" s="67"/>
      <c r="G46" s="68"/>
      <c r="H46" s="68">
        <f>G46+M46</f>
        <v>0</v>
      </c>
      <c r="I46" s="70">
        <f>IF(E46&gt;0,H46/E46,0)</f>
        <v>0</v>
      </c>
      <c r="J46" s="70"/>
      <c r="K46" s="68"/>
      <c r="L46" s="70"/>
      <c r="M46" s="68"/>
      <c r="N46" s="68"/>
      <c r="O46" s="70"/>
      <c r="P46" s="71"/>
      <c r="Q46" s="71"/>
      <c r="R46" s="71"/>
      <c r="V46" s="167"/>
    </row>
    <row r="47" spans="1:22" ht="24" customHeight="1">
      <c r="A47" s="8" t="s">
        <v>93</v>
      </c>
      <c r="B47" s="46" t="s">
        <v>107</v>
      </c>
      <c r="C47" s="71"/>
      <c r="D47" s="82"/>
      <c r="E47" s="67">
        <f>C47+D47</f>
        <v>0</v>
      </c>
      <c r="F47" s="67"/>
      <c r="G47" s="71"/>
      <c r="H47" s="68">
        <f>G47+M47</f>
        <v>0</v>
      </c>
      <c r="I47" s="70"/>
      <c r="J47" s="70"/>
      <c r="K47" s="71"/>
      <c r="L47" s="70"/>
      <c r="M47" s="71"/>
      <c r="N47" s="71"/>
      <c r="O47" s="70"/>
      <c r="P47" s="71"/>
      <c r="Q47" s="71"/>
      <c r="R47" s="71"/>
      <c r="V47" s="167"/>
    </row>
    <row r="48" spans="1:22" ht="18">
      <c r="A48" s="9" t="s">
        <v>2</v>
      </c>
      <c r="B48" s="9"/>
      <c r="C48" s="78">
        <f>C42+C44+C45</f>
        <v>39237.25</v>
      </c>
      <c r="D48" s="78">
        <f>D42+D44+D45+D47+D46</f>
        <v>8994.780999999999</v>
      </c>
      <c r="E48" s="78">
        <f>E42+E44+E45+E47+E46</f>
        <v>48232.031</v>
      </c>
      <c r="F48" s="79">
        <f>F42+F44+F45</f>
        <v>0</v>
      </c>
      <c r="G48" s="79">
        <f>G42+G44+G45+G47+G46</f>
        <v>28009.9</v>
      </c>
      <c r="H48" s="79">
        <f>H42+H44+H45+H47+H46</f>
        <v>31156</v>
      </c>
      <c r="I48" s="80">
        <f t="shared" si="4"/>
        <v>0.6459607724169857</v>
      </c>
      <c r="J48" s="80">
        <f t="shared" si="5"/>
        <v>0</v>
      </c>
      <c r="K48" s="79">
        <f>K42+K44+K45+K46+K47</f>
        <v>8466.5</v>
      </c>
      <c r="L48" s="80">
        <f t="shared" si="1"/>
        <v>3.679914958955885</v>
      </c>
      <c r="M48" s="79">
        <f>M42+M44+M45+M47+M46</f>
        <v>3146.1</v>
      </c>
      <c r="N48" s="79">
        <f>N42+N44+N45+N47+N46</f>
        <v>846</v>
      </c>
      <c r="O48" s="80">
        <f t="shared" si="14"/>
        <v>3.7187943262411345</v>
      </c>
      <c r="P48" s="79">
        <f>P42+P44+P45</f>
        <v>487.7</v>
      </c>
      <c r="Q48" s="79">
        <f>Q42+Q44+Q45</f>
        <v>522.5999999999999</v>
      </c>
      <c r="R48" s="79">
        <f>R42+R44+R45</f>
        <v>377.1</v>
      </c>
      <c r="V48" s="167"/>
    </row>
  </sheetData>
  <sheetProtection/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1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9"/>
      <c r="O1" s="49"/>
      <c r="P1" s="26"/>
      <c r="Q1" s="26"/>
      <c r="R1" s="26"/>
    </row>
    <row r="2" spans="1:18" ht="15.75">
      <c r="A2" s="26"/>
      <c r="B2" s="193" t="s">
        <v>130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8" customHeight="1">
      <c r="A3" s="194" t="s">
        <v>3</v>
      </c>
      <c r="B3" s="187" t="s">
        <v>4</v>
      </c>
      <c r="C3" s="187" t="s">
        <v>115</v>
      </c>
      <c r="D3" s="187" t="s">
        <v>24</v>
      </c>
      <c r="E3" s="187" t="s">
        <v>116</v>
      </c>
      <c r="F3" s="187" t="s">
        <v>99</v>
      </c>
      <c r="G3" s="187" t="s">
        <v>120</v>
      </c>
      <c r="H3" s="187" t="s">
        <v>117</v>
      </c>
      <c r="I3" s="187"/>
      <c r="J3" s="187"/>
      <c r="K3" s="187" t="s">
        <v>113</v>
      </c>
      <c r="L3" s="187"/>
      <c r="M3" s="187" t="s">
        <v>123</v>
      </c>
      <c r="N3" s="187" t="s">
        <v>124</v>
      </c>
      <c r="O3" s="187" t="s">
        <v>30</v>
      </c>
      <c r="P3" s="187" t="s">
        <v>9</v>
      </c>
      <c r="Q3" s="187"/>
      <c r="R3" s="187"/>
    </row>
    <row r="4" spans="1:18" ht="98.25" customHeight="1">
      <c r="A4" s="195"/>
      <c r="B4" s="196"/>
      <c r="C4" s="187"/>
      <c r="D4" s="187"/>
      <c r="E4" s="187"/>
      <c r="F4" s="187"/>
      <c r="G4" s="187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7"/>
      <c r="N4" s="187"/>
      <c r="O4" s="187"/>
      <c r="P4" s="122" t="s">
        <v>118</v>
      </c>
      <c r="Q4" s="122" t="s">
        <v>121</v>
      </c>
      <c r="R4" s="122" t="s">
        <v>128</v>
      </c>
    </row>
    <row r="5" spans="1:18" ht="21" customHeight="1">
      <c r="A5" s="51" t="s">
        <v>21</v>
      </c>
      <c r="B5" s="52"/>
      <c r="C5" s="84">
        <f aca="true" t="shared" si="0" ref="C5:H5">C6+C15+C17+C22+C23+C10</f>
        <v>999.8000000000001</v>
      </c>
      <c r="D5" s="84">
        <f t="shared" si="0"/>
        <v>44.753</v>
      </c>
      <c r="E5" s="84">
        <f t="shared" si="0"/>
        <v>1044.5529999999999</v>
      </c>
      <c r="F5" s="84" t="e">
        <f t="shared" si="0"/>
        <v>#REF!</v>
      </c>
      <c r="G5" s="84">
        <f t="shared" si="0"/>
        <v>714</v>
      </c>
      <c r="H5" s="84">
        <f t="shared" si="0"/>
        <v>769</v>
      </c>
      <c r="I5" s="64">
        <f aca="true" t="shared" si="1" ref="I5:I39">IF(E5&gt;0,H5/E5,0)</f>
        <v>0.7362000779280707</v>
      </c>
      <c r="J5" s="64" t="e">
        <f>IF(F5&gt;0,H5/F5,0)</f>
        <v>#REF!</v>
      </c>
      <c r="K5" s="84">
        <f>K6+K15+K17+K22+K23+K10</f>
        <v>647.3</v>
      </c>
      <c r="L5" s="64">
        <f>IF(K5&gt;0,H5/K5,0)</f>
        <v>1.1880117410783255</v>
      </c>
      <c r="M5" s="84">
        <f>M6+M15+M17+M22+M23+M10</f>
        <v>54.99999999999999</v>
      </c>
      <c r="N5" s="84">
        <f>N6+N15+N17+N22+N23+N10</f>
        <v>91.7</v>
      </c>
      <c r="O5" s="64">
        <f aca="true" t="shared" si="2" ref="O5:O31">IF(N5&gt;0,M5/N5,0)</f>
        <v>0.5997818974918211</v>
      </c>
      <c r="P5" s="84">
        <f>P6+P15+P17+P22+P23+P10</f>
        <v>15.999999999999998</v>
      </c>
      <c r="Q5" s="84">
        <f>Q6+Q15+Q17+Q22+Q23+Q10</f>
        <v>12</v>
      </c>
      <c r="R5" s="84">
        <f>R6+R15+R17+R22+R23+R10</f>
        <v>12</v>
      </c>
    </row>
    <row r="6" spans="1:19" ht="16.5" customHeight="1">
      <c r="A6" s="9" t="s">
        <v>63</v>
      </c>
      <c r="B6" s="53">
        <v>1010200001</v>
      </c>
      <c r="C6" s="85">
        <f>C7+C8+C9</f>
        <v>442.7</v>
      </c>
      <c r="D6" s="85">
        <f>D7+D8+D9</f>
        <v>0</v>
      </c>
      <c r="E6" s="85">
        <f>E7+E8+E9</f>
        <v>442.7</v>
      </c>
      <c r="F6" s="85" t="e">
        <f>F7+F8+F9+#REF!</f>
        <v>#REF!</v>
      </c>
      <c r="G6" s="85">
        <f>G7+G8+G9</f>
        <v>289.90000000000003</v>
      </c>
      <c r="H6" s="85">
        <f>H7+H8+H9</f>
        <v>317.8</v>
      </c>
      <c r="I6" s="66">
        <f t="shared" si="1"/>
        <v>0.7178676304495144</v>
      </c>
      <c r="J6" s="66" t="e">
        <f>IF(F6&gt;0,H6/F6,0)</f>
        <v>#REF!</v>
      </c>
      <c r="K6" s="85">
        <f>K7+K8+K9</f>
        <v>286.90000000000003</v>
      </c>
      <c r="L6" s="66">
        <f aca="true" t="shared" si="3" ref="L6:L39">IF(K6&gt;0,H6/K6,0)</f>
        <v>1.1077030324154757</v>
      </c>
      <c r="M6" s="85">
        <f>M7+M8+M9</f>
        <v>27.9</v>
      </c>
      <c r="N6" s="85">
        <f>N7+N8+N9</f>
        <v>23</v>
      </c>
      <c r="O6" s="66">
        <f t="shared" si="2"/>
        <v>1.2130434782608694</v>
      </c>
      <c r="P6" s="85">
        <f>P7+P8+P9</f>
        <v>0.7</v>
      </c>
      <c r="Q6" s="85">
        <f>Q7+Q8+Q9</f>
        <v>0.6</v>
      </c>
      <c r="R6" s="85">
        <f>R7+R8+R9</f>
        <v>0.6</v>
      </c>
      <c r="S6" s="26"/>
    </row>
    <row r="7" spans="1:19" ht="18">
      <c r="A7" s="10" t="s">
        <v>44</v>
      </c>
      <c r="B7" s="13">
        <v>1010201001</v>
      </c>
      <c r="C7" s="71">
        <v>442.7</v>
      </c>
      <c r="D7" s="68"/>
      <c r="E7" s="67">
        <f>C7+D7</f>
        <v>442.7</v>
      </c>
      <c r="F7" s="67"/>
      <c r="G7" s="68">
        <v>289.3</v>
      </c>
      <c r="H7" s="69">
        <f>G7+M7</f>
        <v>317.2</v>
      </c>
      <c r="I7" s="70">
        <f t="shared" si="1"/>
        <v>0.7165123108199684</v>
      </c>
      <c r="J7" s="70">
        <f aca="true" t="shared" si="4" ref="J7:J39">IF(F7&gt;0,H7/F7,0)</f>
        <v>0</v>
      </c>
      <c r="K7" s="68">
        <v>286.6</v>
      </c>
      <c r="L7" s="70">
        <f t="shared" si="3"/>
        <v>1.1067690160502441</v>
      </c>
      <c r="M7" s="68">
        <v>27.9</v>
      </c>
      <c r="N7" s="68">
        <v>23</v>
      </c>
      <c r="O7" s="70">
        <f t="shared" si="2"/>
        <v>1.2130434782608694</v>
      </c>
      <c r="P7" s="71">
        <v>0.4</v>
      </c>
      <c r="Q7" s="71">
        <v>0.3</v>
      </c>
      <c r="R7" s="71">
        <v>0.3</v>
      </c>
      <c r="S7" s="172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/>
      <c r="D9" s="71"/>
      <c r="E9" s="67">
        <f>C9+D9</f>
        <v>0</v>
      </c>
      <c r="F9" s="67"/>
      <c r="G9" s="71">
        <v>0.6</v>
      </c>
      <c r="H9" s="69">
        <f>G9+M9</f>
        <v>0.6</v>
      </c>
      <c r="I9" s="70">
        <f t="shared" si="1"/>
        <v>0</v>
      </c>
      <c r="J9" s="70">
        <f t="shared" si="4"/>
        <v>0</v>
      </c>
      <c r="K9" s="71">
        <v>0.3</v>
      </c>
      <c r="L9" s="70">
        <f t="shared" si="3"/>
        <v>2</v>
      </c>
      <c r="M9" s="71"/>
      <c r="N9" s="71"/>
      <c r="O9" s="70">
        <f t="shared" si="2"/>
        <v>0</v>
      </c>
      <c r="P9" s="71">
        <v>0.3</v>
      </c>
      <c r="Q9" s="71">
        <v>0.3</v>
      </c>
      <c r="R9" s="71">
        <v>0.3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404.1</v>
      </c>
      <c r="D10" s="72">
        <f t="shared" si="5"/>
        <v>0</v>
      </c>
      <c r="E10" s="72">
        <f t="shared" si="5"/>
        <v>404.1</v>
      </c>
      <c r="F10" s="72"/>
      <c r="G10" s="72">
        <f>SUM(G11:G14)</f>
        <v>301.09999999999997</v>
      </c>
      <c r="H10" s="72">
        <f t="shared" si="5"/>
        <v>346.4</v>
      </c>
      <c r="I10" s="66">
        <f t="shared" si="1"/>
        <v>0.8572135609997524</v>
      </c>
      <c r="J10" s="66">
        <f>IF(F10&gt;0,H10/F10,0)</f>
        <v>0</v>
      </c>
      <c r="K10" s="72">
        <f>SUM(K11:K14)</f>
        <v>283.1</v>
      </c>
      <c r="L10" s="66">
        <f t="shared" si="3"/>
        <v>1.2235959025079475</v>
      </c>
      <c r="M10" s="72">
        <f>SUM(M11:M14)</f>
        <v>45.3</v>
      </c>
      <c r="N10" s="72">
        <f>SUM(N11:N14)</f>
        <v>37.1</v>
      </c>
      <c r="O10" s="66">
        <f t="shared" si="2"/>
        <v>1.2210242587601077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182.7</v>
      </c>
      <c r="D11" s="71"/>
      <c r="E11" s="67">
        <f>C11+D11</f>
        <v>182.7</v>
      </c>
      <c r="F11" s="67"/>
      <c r="G11" s="71">
        <v>147.7</v>
      </c>
      <c r="H11" s="69">
        <f>G11+M11</f>
        <v>169.29999999999998</v>
      </c>
      <c r="I11" s="70">
        <f t="shared" si="1"/>
        <v>0.926655719759168</v>
      </c>
      <c r="J11" s="70">
        <f>IF(F11&gt;0,H11/F11,0)</f>
        <v>0</v>
      </c>
      <c r="K11" s="71">
        <v>128.4</v>
      </c>
      <c r="L11" s="70">
        <f t="shared" si="3"/>
        <v>1.3185358255451711</v>
      </c>
      <c r="M11" s="71">
        <v>21.6</v>
      </c>
      <c r="N11" s="71">
        <v>17.2</v>
      </c>
      <c r="O11" s="70">
        <f t="shared" si="2"/>
        <v>1.2558139534883723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1</v>
      </c>
      <c r="D12" s="71"/>
      <c r="E12" s="67">
        <f>C12+D12</f>
        <v>1</v>
      </c>
      <c r="F12" s="67"/>
      <c r="G12" s="71">
        <v>0.8</v>
      </c>
      <c r="H12" s="69">
        <f>G12+M12</f>
        <v>0.9</v>
      </c>
      <c r="I12" s="70">
        <f t="shared" si="1"/>
        <v>0.9</v>
      </c>
      <c r="J12" s="70">
        <f>IF(F12&gt;0,H12/F12,0)</f>
        <v>0</v>
      </c>
      <c r="K12" s="71">
        <v>0.9</v>
      </c>
      <c r="L12" s="70">
        <f t="shared" si="3"/>
        <v>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243.3</v>
      </c>
      <c r="D13" s="71"/>
      <c r="E13" s="67">
        <f>C13+D13</f>
        <v>243.3</v>
      </c>
      <c r="F13" s="67"/>
      <c r="G13" s="71">
        <v>169.7</v>
      </c>
      <c r="H13" s="69">
        <f>G13+M13</f>
        <v>195</v>
      </c>
      <c r="I13" s="70">
        <f t="shared" si="1"/>
        <v>0.8014796547472256</v>
      </c>
      <c r="J13" s="70">
        <f>IF(F13&gt;0,H13/F13,0)</f>
        <v>0</v>
      </c>
      <c r="K13" s="71">
        <v>176.5</v>
      </c>
      <c r="L13" s="70">
        <f t="shared" si="3"/>
        <v>1.1048158640226629</v>
      </c>
      <c r="M13" s="71">
        <v>25.3</v>
      </c>
      <c r="N13" s="71">
        <v>22.2</v>
      </c>
      <c r="O13" s="70">
        <f t="shared" si="2"/>
        <v>1.1396396396396398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-22.9</v>
      </c>
      <c r="D14" s="71"/>
      <c r="E14" s="67">
        <f>C14+D14</f>
        <v>-22.9</v>
      </c>
      <c r="F14" s="67"/>
      <c r="G14" s="71">
        <v>-17.1</v>
      </c>
      <c r="H14" s="69">
        <f>G14+M14</f>
        <v>-18.8</v>
      </c>
      <c r="I14" s="70">
        <f>H14/E14</f>
        <v>0.8209606986899564</v>
      </c>
      <c r="J14" s="70">
        <f>IF(F14&gt;0,H14/F14,0)</f>
        <v>0</v>
      </c>
      <c r="K14" s="71">
        <v>-22.7</v>
      </c>
      <c r="L14" s="70">
        <f t="shared" si="3"/>
        <v>0</v>
      </c>
      <c r="M14" s="71">
        <v>-1.7</v>
      </c>
      <c r="N14" s="71">
        <v>-2.4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0</v>
      </c>
      <c r="D15" s="129">
        <f t="shared" si="6"/>
        <v>44.753</v>
      </c>
      <c r="E15" s="129">
        <f t="shared" si="6"/>
        <v>44.753</v>
      </c>
      <c r="F15" s="73">
        <f t="shared" si="6"/>
        <v>0</v>
      </c>
      <c r="G15" s="72">
        <f>G16</f>
        <v>44.8</v>
      </c>
      <c r="H15" s="73">
        <f t="shared" si="6"/>
        <v>44.8</v>
      </c>
      <c r="I15" s="66">
        <f t="shared" si="1"/>
        <v>1.0010502089245412</v>
      </c>
      <c r="J15" s="66">
        <f t="shared" si="4"/>
        <v>0</v>
      </c>
      <c r="K15" s="72">
        <f>K16</f>
        <v>-0.3</v>
      </c>
      <c r="L15" s="66">
        <f t="shared" si="3"/>
        <v>0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/>
      <c r="D16" s="83">
        <f>19.753+5+20</f>
        <v>44.753</v>
      </c>
      <c r="E16" s="67">
        <f>C16+D16</f>
        <v>44.753</v>
      </c>
      <c r="F16" s="67">
        <f>1-1</f>
        <v>0</v>
      </c>
      <c r="G16" s="71">
        <v>44.8</v>
      </c>
      <c r="H16" s="69">
        <f>G16+M16</f>
        <v>44.8</v>
      </c>
      <c r="I16" s="70">
        <f t="shared" si="1"/>
        <v>1.0010502089245412</v>
      </c>
      <c r="J16" s="70">
        <f t="shared" si="4"/>
        <v>0</v>
      </c>
      <c r="K16" s="71">
        <v>-0.3</v>
      </c>
      <c r="L16" s="70">
        <f t="shared" si="3"/>
        <v>0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150</v>
      </c>
      <c r="D17" s="126">
        <f t="shared" si="7"/>
        <v>0</v>
      </c>
      <c r="E17" s="73">
        <f t="shared" si="7"/>
        <v>150</v>
      </c>
      <c r="F17" s="73">
        <f t="shared" si="7"/>
        <v>0</v>
      </c>
      <c r="G17" s="72">
        <f>G18+G21</f>
        <v>77.8</v>
      </c>
      <c r="H17" s="73">
        <f t="shared" si="7"/>
        <v>59.50000000000001</v>
      </c>
      <c r="I17" s="66">
        <f t="shared" si="1"/>
        <v>0.3966666666666667</v>
      </c>
      <c r="J17" s="66">
        <f t="shared" si="4"/>
        <v>0</v>
      </c>
      <c r="K17" s="72">
        <f>K18+K21</f>
        <v>75.7</v>
      </c>
      <c r="L17" s="66">
        <f t="shared" si="3"/>
        <v>0.785997357992074</v>
      </c>
      <c r="M17" s="72">
        <f>M18+M21</f>
        <v>-18.3</v>
      </c>
      <c r="N17" s="72">
        <f>N18+N21</f>
        <v>31.499999999999996</v>
      </c>
      <c r="O17" s="66">
        <f t="shared" si="2"/>
        <v>-0.580952380952381</v>
      </c>
      <c r="P17" s="72">
        <f>P18+P21</f>
        <v>15.299999999999999</v>
      </c>
      <c r="Q17" s="72">
        <f>Q18+Q21</f>
        <v>11.4</v>
      </c>
      <c r="R17" s="72">
        <f>R18+R21</f>
        <v>11.4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141</v>
      </c>
      <c r="D18" s="74">
        <f t="shared" si="8"/>
        <v>0</v>
      </c>
      <c r="E18" s="68">
        <f t="shared" si="8"/>
        <v>141</v>
      </c>
      <c r="F18" s="68">
        <f t="shared" si="8"/>
        <v>0</v>
      </c>
      <c r="G18" s="74">
        <f>G19+G20</f>
        <v>76</v>
      </c>
      <c r="H18" s="68">
        <f t="shared" si="8"/>
        <v>57.300000000000004</v>
      </c>
      <c r="I18" s="70">
        <f t="shared" si="1"/>
        <v>0.4063829787234043</v>
      </c>
      <c r="J18" s="70">
        <f t="shared" si="4"/>
        <v>0</v>
      </c>
      <c r="K18" s="74">
        <f>K19+K20</f>
        <v>77.9</v>
      </c>
      <c r="L18" s="70">
        <f t="shared" si="3"/>
        <v>0.7355584082156611</v>
      </c>
      <c r="M18" s="74">
        <f>M19+M20</f>
        <v>-18.7</v>
      </c>
      <c r="N18" s="74">
        <f>N19+N20</f>
        <v>35.3</v>
      </c>
      <c r="O18" s="70">
        <f t="shared" si="2"/>
        <v>-0.5297450424929179</v>
      </c>
      <c r="P18" s="71">
        <f>P19+P20</f>
        <v>12.2</v>
      </c>
      <c r="Q18" s="71">
        <f>Q19+Q20</f>
        <v>9.6</v>
      </c>
      <c r="R18" s="71">
        <f>R19+R20</f>
        <v>9.6</v>
      </c>
      <c r="S18" s="26"/>
    </row>
    <row r="19" spans="1:19" ht="18">
      <c r="A19" s="13" t="s">
        <v>100</v>
      </c>
      <c r="B19" s="13">
        <v>1060603310</v>
      </c>
      <c r="C19" s="71">
        <v>96</v>
      </c>
      <c r="D19" s="68"/>
      <c r="E19" s="67">
        <f>C19+D19</f>
        <v>96</v>
      </c>
      <c r="F19" s="67"/>
      <c r="G19" s="71">
        <v>75</v>
      </c>
      <c r="H19" s="69">
        <f>G19+M19</f>
        <v>55.7</v>
      </c>
      <c r="I19" s="70">
        <f t="shared" si="1"/>
        <v>0.5802083333333333</v>
      </c>
      <c r="J19" s="70">
        <f t="shared" si="4"/>
        <v>0</v>
      </c>
      <c r="K19" s="71">
        <v>66.9</v>
      </c>
      <c r="L19" s="70">
        <f t="shared" si="3"/>
        <v>0.8325859491778774</v>
      </c>
      <c r="M19" s="71">
        <v>-19.3</v>
      </c>
      <c r="N19" s="71">
        <v>28.4</v>
      </c>
      <c r="O19" s="70">
        <f t="shared" si="2"/>
        <v>-0.6795774647887325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45</v>
      </c>
      <c r="D20" s="68"/>
      <c r="E20" s="67">
        <f>C20+D20</f>
        <v>45</v>
      </c>
      <c r="F20" s="67"/>
      <c r="G20" s="71">
        <v>1</v>
      </c>
      <c r="H20" s="69">
        <f>G20+M20</f>
        <v>1.6</v>
      </c>
      <c r="I20" s="70">
        <f t="shared" si="1"/>
        <v>0.035555555555555556</v>
      </c>
      <c r="J20" s="70">
        <f t="shared" si="4"/>
        <v>0</v>
      </c>
      <c r="K20" s="71">
        <v>11</v>
      </c>
      <c r="L20" s="70">
        <f t="shared" si="3"/>
        <v>0.14545454545454548</v>
      </c>
      <c r="M20" s="71">
        <v>0.6</v>
      </c>
      <c r="N20" s="71">
        <v>6.9</v>
      </c>
      <c r="O20" s="70">
        <f t="shared" si="2"/>
        <v>0.08695652173913043</v>
      </c>
      <c r="P20" s="71">
        <v>12.2</v>
      </c>
      <c r="Q20" s="71">
        <v>9.6</v>
      </c>
      <c r="R20" s="71">
        <v>9.6</v>
      </c>
      <c r="S20" s="173"/>
      <c r="T20" s="159"/>
    </row>
    <row r="21" spans="1:20" ht="18">
      <c r="A21" s="13" t="s">
        <v>12</v>
      </c>
      <c r="B21" s="13">
        <v>1060103010</v>
      </c>
      <c r="C21" s="71">
        <v>9</v>
      </c>
      <c r="D21" s="68"/>
      <c r="E21" s="67">
        <f>C21+D21</f>
        <v>9</v>
      </c>
      <c r="F21" s="67"/>
      <c r="G21" s="71">
        <v>1.8</v>
      </c>
      <c r="H21" s="69">
        <f>G21+M21</f>
        <v>2.2</v>
      </c>
      <c r="I21" s="70">
        <f t="shared" si="1"/>
        <v>0.24444444444444446</v>
      </c>
      <c r="J21" s="70">
        <f t="shared" si="4"/>
        <v>0</v>
      </c>
      <c r="K21" s="71">
        <v>-2.2</v>
      </c>
      <c r="L21" s="70">
        <f t="shared" si="3"/>
        <v>0</v>
      </c>
      <c r="M21" s="71">
        <v>0.4</v>
      </c>
      <c r="N21" s="71">
        <v>-3.8</v>
      </c>
      <c r="O21" s="70">
        <f t="shared" si="2"/>
        <v>0</v>
      </c>
      <c r="P21" s="71">
        <v>3.1</v>
      </c>
      <c r="Q21" s="71">
        <v>1.8</v>
      </c>
      <c r="R21" s="71">
        <v>1.8</v>
      </c>
      <c r="S21" s="173"/>
      <c r="T21" s="159"/>
    </row>
    <row r="22" spans="1:19" ht="18">
      <c r="A22" s="30" t="s">
        <v>72</v>
      </c>
      <c r="B22" s="30">
        <v>1080402001</v>
      </c>
      <c r="C22" s="72">
        <v>3</v>
      </c>
      <c r="D22" s="73"/>
      <c r="E22" s="65">
        <f>C22+D22</f>
        <v>3</v>
      </c>
      <c r="F22" s="65"/>
      <c r="G22" s="72">
        <v>0.4</v>
      </c>
      <c r="H22" s="75">
        <f>G22+M22</f>
        <v>0.5</v>
      </c>
      <c r="I22" s="66">
        <f t="shared" si="1"/>
        <v>0.16666666666666666</v>
      </c>
      <c r="J22" s="66">
        <f t="shared" si="4"/>
        <v>0</v>
      </c>
      <c r="K22" s="72">
        <v>1.9</v>
      </c>
      <c r="L22" s="66">
        <f t="shared" si="3"/>
        <v>0.2631578947368421</v>
      </c>
      <c r="M22" s="72">
        <v>0.1</v>
      </c>
      <c r="N22" s="72">
        <v>0.1</v>
      </c>
      <c r="O22" s="66">
        <f t="shared" si="2"/>
        <v>1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330</v>
      </c>
      <c r="D24" s="152">
        <f t="shared" si="9"/>
        <v>192.652</v>
      </c>
      <c r="E24" s="152">
        <f t="shared" si="9"/>
        <v>522.652</v>
      </c>
      <c r="F24" s="86">
        <f t="shared" si="9"/>
        <v>0</v>
      </c>
      <c r="G24" s="86">
        <f>G25+G28+G32+G29+G31+G30</f>
        <v>253.39999999999998</v>
      </c>
      <c r="H24" s="86">
        <f t="shared" si="9"/>
        <v>295.7</v>
      </c>
      <c r="I24" s="64">
        <f t="shared" si="1"/>
        <v>0.5657684271752523</v>
      </c>
      <c r="J24" s="64">
        <f t="shared" si="4"/>
        <v>0</v>
      </c>
      <c r="K24" s="86">
        <f>K25+K28+K32+K29+K31+K30</f>
        <v>337.7</v>
      </c>
      <c r="L24" s="64">
        <f t="shared" si="3"/>
        <v>0.8756292567367486</v>
      </c>
      <c r="M24" s="86">
        <f>M25+M28+M32+M29+M31+M30</f>
        <v>42.300000000000004</v>
      </c>
      <c r="N24" s="86">
        <f>N25+N28+N32+N29+N31+N30</f>
        <v>48.199999999999996</v>
      </c>
      <c r="O24" s="64">
        <f t="shared" si="2"/>
        <v>0.8775933609958508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30</v>
      </c>
      <c r="D25" s="72">
        <f t="shared" si="10"/>
        <v>0</v>
      </c>
      <c r="E25" s="72">
        <f t="shared" si="10"/>
        <v>30</v>
      </c>
      <c r="F25" s="72">
        <f t="shared" si="10"/>
        <v>0</v>
      </c>
      <c r="G25" s="72">
        <f>G26+G27</f>
        <v>27.1</v>
      </c>
      <c r="H25" s="72">
        <f t="shared" si="10"/>
        <v>28.700000000000003</v>
      </c>
      <c r="I25" s="87">
        <f t="shared" si="1"/>
        <v>0.9566666666666668</v>
      </c>
      <c r="J25" s="87">
        <f t="shared" si="4"/>
        <v>0</v>
      </c>
      <c r="K25" s="72">
        <f>K26+K27</f>
        <v>18.8</v>
      </c>
      <c r="L25" s="87">
        <f t="shared" si="3"/>
        <v>1.5265957446808511</v>
      </c>
      <c r="M25" s="72">
        <f>M26+M27</f>
        <v>1.6</v>
      </c>
      <c r="N25" s="72">
        <f>N26+N27</f>
        <v>1.8</v>
      </c>
      <c r="O25" s="87">
        <f t="shared" si="2"/>
        <v>0.888888888888889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24" customHeight="1">
      <c r="A26" s="28" t="s">
        <v>112</v>
      </c>
      <c r="B26" s="181">
        <v>1110507510</v>
      </c>
      <c r="C26" s="71">
        <v>12</v>
      </c>
      <c r="D26" s="68"/>
      <c r="E26" s="71">
        <f>C26+D26</f>
        <v>12</v>
      </c>
      <c r="F26" s="71"/>
      <c r="G26" s="71">
        <v>12.1</v>
      </c>
      <c r="H26" s="68">
        <f aca="true" t="shared" si="11" ref="H26:H31">G26+M26</f>
        <v>12.1</v>
      </c>
      <c r="I26" s="77">
        <f t="shared" si="1"/>
        <v>1.0083333333333333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18</v>
      </c>
      <c r="D27" s="83"/>
      <c r="E27" s="71">
        <f>C27+D27</f>
        <v>18</v>
      </c>
      <c r="F27" s="71"/>
      <c r="G27" s="71">
        <v>15</v>
      </c>
      <c r="H27" s="68">
        <f t="shared" si="11"/>
        <v>16.6</v>
      </c>
      <c r="I27" s="77">
        <f t="shared" si="1"/>
        <v>0.9222222222222223</v>
      </c>
      <c r="J27" s="77">
        <f t="shared" si="4"/>
        <v>0</v>
      </c>
      <c r="K27" s="71">
        <v>18.8</v>
      </c>
      <c r="L27" s="77">
        <f t="shared" si="3"/>
        <v>0.8829787234042553</v>
      </c>
      <c r="M27" s="71">
        <v>1.6</v>
      </c>
      <c r="N27" s="71">
        <v>1.8</v>
      </c>
      <c r="O27" s="77">
        <f t="shared" si="2"/>
        <v>0.888888888888889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300</v>
      </c>
      <c r="D28" s="72">
        <f>85.652+107</f>
        <v>192.652</v>
      </c>
      <c r="E28" s="72">
        <f>C28+D28</f>
        <v>492.652</v>
      </c>
      <c r="F28" s="72"/>
      <c r="G28" s="72">
        <v>226.1</v>
      </c>
      <c r="H28" s="73">
        <f t="shared" si="11"/>
        <v>266.8</v>
      </c>
      <c r="I28" s="87">
        <f t="shared" si="1"/>
        <v>0.5415587473510713</v>
      </c>
      <c r="J28" s="87">
        <f t="shared" si="4"/>
        <v>0</v>
      </c>
      <c r="K28" s="72">
        <v>318.7</v>
      </c>
      <c r="L28" s="87">
        <f t="shared" si="3"/>
        <v>0.8371509256353938</v>
      </c>
      <c r="M28" s="72">
        <v>40.7</v>
      </c>
      <c r="N28" s="72">
        <v>46.4</v>
      </c>
      <c r="O28" s="87">
        <f t="shared" si="2"/>
        <v>0.8771551724137931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0.2</v>
      </c>
      <c r="H32" s="72">
        <f t="shared" si="12"/>
        <v>0.2</v>
      </c>
      <c r="I32" s="87">
        <f>IF(E32&gt;0,H32/E32,0)</f>
        <v>0</v>
      </c>
      <c r="J32" s="87">
        <f>IF(F32&gt;0,H32/F32,0)</f>
        <v>0</v>
      </c>
      <c r="K32" s="72">
        <f>SUM(K33:K34)</f>
        <v>0.2</v>
      </c>
      <c r="L32" s="87">
        <f t="shared" si="3"/>
        <v>1</v>
      </c>
      <c r="M32" s="72">
        <f>SUM(M33:M34)</f>
        <v>0</v>
      </c>
      <c r="N32" s="72">
        <f>SUM(N33:N34)</f>
        <v>0</v>
      </c>
      <c r="O32" s="72">
        <f t="shared" si="12"/>
        <v>0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4"/>
      <c r="T32" s="159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0.2</v>
      </c>
      <c r="H34" s="68">
        <f>G34+M34</f>
        <v>0.2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1</v>
      </c>
      <c r="M34" s="71"/>
      <c r="N34" s="71"/>
      <c r="O34" s="77">
        <f t="shared" si="13"/>
        <v>0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1329.8000000000002</v>
      </c>
      <c r="D35" s="78">
        <f t="shared" si="14"/>
        <v>237.40499999999997</v>
      </c>
      <c r="E35" s="78">
        <f t="shared" si="14"/>
        <v>1567.205</v>
      </c>
      <c r="F35" s="79" t="e">
        <f t="shared" si="14"/>
        <v>#REF!</v>
      </c>
      <c r="G35" s="79">
        <f>G5+G24</f>
        <v>967.4</v>
      </c>
      <c r="H35" s="79">
        <f t="shared" si="14"/>
        <v>1064.7</v>
      </c>
      <c r="I35" s="80">
        <f t="shared" si="1"/>
        <v>0.6793623042295042</v>
      </c>
      <c r="J35" s="80" t="e">
        <f t="shared" si="4"/>
        <v>#REF!</v>
      </c>
      <c r="K35" s="79">
        <f>K5+K24</f>
        <v>985</v>
      </c>
      <c r="L35" s="80">
        <f t="shared" si="3"/>
        <v>1.0809137055837563</v>
      </c>
      <c r="M35" s="79">
        <f>M5+M24</f>
        <v>97.3</v>
      </c>
      <c r="N35" s="79">
        <f>N5+N24</f>
        <v>139.9</v>
      </c>
      <c r="O35" s="80">
        <f t="shared" si="13"/>
        <v>0.6954967834167262</v>
      </c>
      <c r="P35" s="79">
        <f>P5+P24</f>
        <v>15.999999999999998</v>
      </c>
      <c r="Q35" s="79">
        <f>Q5+Q24</f>
        <v>12</v>
      </c>
      <c r="R35" s="79">
        <f>R5+R24</f>
        <v>12</v>
      </c>
      <c r="S35" s="26"/>
    </row>
    <row r="36" spans="1:19" ht="18">
      <c r="A36" s="9" t="s">
        <v>92</v>
      </c>
      <c r="B36" s="9"/>
      <c r="C36" s="79">
        <f aca="true" t="shared" si="15" ref="C36:H36">C35-C10</f>
        <v>925.7000000000002</v>
      </c>
      <c r="D36" s="78">
        <f t="shared" si="15"/>
        <v>237.40499999999997</v>
      </c>
      <c r="E36" s="78">
        <f t="shared" si="15"/>
        <v>1163.105</v>
      </c>
      <c r="F36" s="79" t="e">
        <f t="shared" si="15"/>
        <v>#REF!</v>
      </c>
      <c r="G36" s="79">
        <f>G35-G10</f>
        <v>666.3</v>
      </c>
      <c r="H36" s="79">
        <f t="shared" si="15"/>
        <v>718.3000000000001</v>
      </c>
      <c r="I36" s="80">
        <f>IF(E36&gt;0,H36/E36,0)</f>
        <v>0.6175710705396332</v>
      </c>
      <c r="J36" s="80" t="e">
        <f>IF(F36&gt;0,H36/F36,0)</f>
        <v>#REF!</v>
      </c>
      <c r="K36" s="79">
        <f>K35-K10</f>
        <v>701.9</v>
      </c>
      <c r="L36" s="80">
        <f t="shared" si="3"/>
        <v>1.023365151731016</v>
      </c>
      <c r="M36" s="79">
        <f>M35-M10</f>
        <v>52</v>
      </c>
      <c r="N36" s="79">
        <f>N35-N10</f>
        <v>102.80000000000001</v>
      </c>
      <c r="O36" s="80">
        <f t="shared" si="13"/>
        <v>0.5058365758754864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2839.8</v>
      </c>
      <c r="D37" s="83">
        <f>80+5.5+95</f>
        <v>180.5</v>
      </c>
      <c r="E37" s="81">
        <f>C37+D37</f>
        <v>3020.3</v>
      </c>
      <c r="F37" s="67"/>
      <c r="G37" s="71">
        <v>1902.3</v>
      </c>
      <c r="H37" s="68">
        <f>G37+M37</f>
        <v>2131.1</v>
      </c>
      <c r="I37" s="70">
        <f t="shared" si="1"/>
        <v>0.7055921597192332</v>
      </c>
      <c r="J37" s="70">
        <f t="shared" si="4"/>
        <v>0</v>
      </c>
      <c r="K37" s="71">
        <v>1919.6</v>
      </c>
      <c r="L37" s="70">
        <f t="shared" si="3"/>
        <v>1.1101792040008336</v>
      </c>
      <c r="M37" s="71">
        <v>228.8</v>
      </c>
      <c r="N37" s="71">
        <v>186.2</v>
      </c>
      <c r="O37" s="70">
        <f t="shared" si="13"/>
        <v>1.2287862513426424</v>
      </c>
      <c r="P37" s="71"/>
      <c r="Q37" s="71"/>
      <c r="R37" s="71"/>
      <c r="S37" s="175"/>
    </row>
    <row r="38" spans="1:19" ht="18">
      <c r="A38" s="13" t="s">
        <v>46</v>
      </c>
      <c r="B38" s="34" t="s">
        <v>37</v>
      </c>
      <c r="C38" s="71"/>
      <c r="D38" s="83"/>
      <c r="E38" s="67">
        <f>C38+D38</f>
        <v>0</v>
      </c>
      <c r="F38" s="67"/>
      <c r="G38" s="71"/>
      <c r="H38" s="68">
        <f>G38+M38</f>
        <v>0</v>
      </c>
      <c r="I38" s="70">
        <f>IF(E38&gt;0,H38/E38,0)</f>
        <v>0</v>
      </c>
      <c r="J38" s="70">
        <f>IF(F38&gt;0,H38/F38,0)</f>
        <v>0</v>
      </c>
      <c r="K38" s="71"/>
      <c r="L38" s="70">
        <f t="shared" si="3"/>
        <v>0</v>
      </c>
      <c r="M38" s="71"/>
      <c r="N38" s="71"/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4169.6</v>
      </c>
      <c r="D39" s="78">
        <f t="shared" si="16"/>
        <v>417.905</v>
      </c>
      <c r="E39" s="78">
        <f t="shared" si="16"/>
        <v>4587.505</v>
      </c>
      <c r="F39" s="79" t="e">
        <f t="shared" si="16"/>
        <v>#REF!</v>
      </c>
      <c r="G39" s="79">
        <f t="shared" si="16"/>
        <v>2869.7</v>
      </c>
      <c r="H39" s="79">
        <f t="shared" si="16"/>
        <v>3195.8</v>
      </c>
      <c r="I39" s="80">
        <f t="shared" si="1"/>
        <v>0.6966313933172825</v>
      </c>
      <c r="J39" s="80" t="e">
        <f t="shared" si="4"/>
        <v>#REF!</v>
      </c>
      <c r="K39" s="79">
        <f>K35+K37+K38</f>
        <v>2904.6</v>
      </c>
      <c r="L39" s="80">
        <f t="shared" si="3"/>
        <v>1.100254768298561</v>
      </c>
      <c r="M39" s="88">
        <f>M35+M37+M38</f>
        <v>326.1</v>
      </c>
      <c r="N39" s="79">
        <f>N35+N37+N38</f>
        <v>326.1</v>
      </c>
      <c r="O39" s="80">
        <f t="shared" si="13"/>
        <v>1</v>
      </c>
      <c r="P39" s="79">
        <f>P35+P37</f>
        <v>15.999999999999998</v>
      </c>
      <c r="Q39" s="79">
        <f>Q35+Q37</f>
        <v>12</v>
      </c>
      <c r="R39" s="79">
        <f>R35+R37</f>
        <v>12</v>
      </c>
      <c r="S39" s="26"/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3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9"/>
      <c r="O1" s="49"/>
      <c r="P1" s="26"/>
      <c r="Q1" s="26"/>
      <c r="R1" s="26"/>
    </row>
    <row r="2" spans="1:18" ht="15.75">
      <c r="A2" s="26"/>
      <c r="B2" s="197" t="s">
        <v>131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3.5" customHeight="1">
      <c r="A3" s="187" t="s">
        <v>3</v>
      </c>
      <c r="B3" s="187" t="s">
        <v>4</v>
      </c>
      <c r="C3" s="187" t="s">
        <v>115</v>
      </c>
      <c r="D3" s="187" t="s">
        <v>24</v>
      </c>
      <c r="E3" s="187" t="s">
        <v>116</v>
      </c>
      <c r="F3" s="187" t="s">
        <v>99</v>
      </c>
      <c r="G3" s="187" t="s">
        <v>120</v>
      </c>
      <c r="H3" s="187" t="s">
        <v>117</v>
      </c>
      <c r="I3" s="187"/>
      <c r="J3" s="187"/>
      <c r="K3" s="187" t="s">
        <v>113</v>
      </c>
      <c r="L3" s="187"/>
      <c r="M3" s="187" t="s">
        <v>123</v>
      </c>
      <c r="N3" s="187" t="s">
        <v>124</v>
      </c>
      <c r="O3" s="187" t="s">
        <v>30</v>
      </c>
      <c r="P3" s="187" t="s">
        <v>9</v>
      </c>
      <c r="Q3" s="187"/>
      <c r="R3" s="187"/>
    </row>
    <row r="4" spans="1:18" ht="93.75" customHeight="1">
      <c r="A4" s="196"/>
      <c r="B4" s="196"/>
      <c r="C4" s="187"/>
      <c r="D4" s="187"/>
      <c r="E4" s="187"/>
      <c r="F4" s="187"/>
      <c r="G4" s="187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7"/>
      <c r="N4" s="187"/>
      <c r="O4" s="187"/>
      <c r="P4" s="122" t="s">
        <v>118</v>
      </c>
      <c r="Q4" s="122" t="s">
        <v>121</v>
      </c>
      <c r="R4" s="122" t="s">
        <v>128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1483.9</v>
      </c>
      <c r="D5" s="89">
        <f t="shared" si="0"/>
        <v>0</v>
      </c>
      <c r="E5" s="141">
        <f t="shared" si="0"/>
        <v>1483.9</v>
      </c>
      <c r="F5" s="89" t="e">
        <f t="shared" si="0"/>
        <v>#REF!</v>
      </c>
      <c r="G5" s="89">
        <f t="shared" si="0"/>
        <v>1096.5</v>
      </c>
      <c r="H5" s="89">
        <f t="shared" si="0"/>
        <v>1232.8000000000002</v>
      </c>
      <c r="I5" s="90">
        <f aca="true" t="shared" si="1" ref="I5:I40">IF(E5&gt;0,H5/E5,0)</f>
        <v>0.8307837455354135</v>
      </c>
      <c r="J5" s="90" t="e">
        <f>IF(F5&gt;0,H5/F5,0)</f>
        <v>#REF!</v>
      </c>
      <c r="K5" s="89">
        <f>K6+K15+K17+K22+K23+K10</f>
        <v>1032.8000000000002</v>
      </c>
      <c r="L5" s="90">
        <f>IF(K5&gt;0,H5/K5,0)</f>
        <v>1.1936483346243223</v>
      </c>
      <c r="M5" s="89">
        <f>M6+M15+M17+M22+M23+M10</f>
        <v>136.3</v>
      </c>
      <c r="N5" s="89">
        <f>N6+N15+N17+N22+N23+N10</f>
        <v>112.30000000000001</v>
      </c>
      <c r="O5" s="90">
        <f aca="true" t="shared" si="2" ref="O5:O33">IF(N5&gt;0,M5/N5,0)</f>
        <v>1.213713268032057</v>
      </c>
      <c r="P5" s="89">
        <f>P6+P15+P17+P22+P23+P10</f>
        <v>25.8</v>
      </c>
      <c r="Q5" s="89">
        <f>Q6+Q15+Q17+Q22+Q23+Q10</f>
        <v>17.6</v>
      </c>
      <c r="R5" s="89">
        <f>R6+R15+R17+R22+R23+R10</f>
        <v>17</v>
      </c>
    </row>
    <row r="6" spans="1:18" ht="18">
      <c r="A6" s="9" t="s">
        <v>63</v>
      </c>
      <c r="B6" s="30">
        <v>1010200001</v>
      </c>
      <c r="C6" s="72">
        <f>C7+C8+C9</f>
        <v>590.9</v>
      </c>
      <c r="D6" s="72">
        <f>D7+D8+D9</f>
        <v>0</v>
      </c>
      <c r="E6" s="72">
        <f>E7+E8+E9</f>
        <v>590.9</v>
      </c>
      <c r="F6" s="72" t="e">
        <f>F7+F8+F9+#REF!</f>
        <v>#REF!</v>
      </c>
      <c r="G6" s="72">
        <f>G7+G8+G9</f>
        <v>438.7</v>
      </c>
      <c r="H6" s="72">
        <f>H7+H8+H9</f>
        <v>482.9</v>
      </c>
      <c r="I6" s="87">
        <f t="shared" si="1"/>
        <v>0.8172279573531901</v>
      </c>
      <c r="J6" s="87" t="e">
        <f>IF(F6&gt;0,H6/F6,0)</f>
        <v>#REF!</v>
      </c>
      <c r="K6" s="72">
        <f>K7+K8+K9</f>
        <v>414.3</v>
      </c>
      <c r="L6" s="87">
        <f aca="true" t="shared" si="3" ref="L6:L40">IF(K6&gt;0,H6/K6,0)</f>
        <v>1.1655804972242336</v>
      </c>
      <c r="M6" s="72">
        <f>M7+M8+M9</f>
        <v>44.199999999999996</v>
      </c>
      <c r="N6" s="72">
        <f>N7+N8+N9</f>
        <v>46</v>
      </c>
      <c r="O6" s="87">
        <f t="shared" si="2"/>
        <v>0.9608695652173912</v>
      </c>
      <c r="P6" s="72">
        <f>P7+P8+P9</f>
        <v>0.2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590.9</v>
      </c>
      <c r="D7" s="83"/>
      <c r="E7" s="71">
        <f>C7+D7</f>
        <v>590.9</v>
      </c>
      <c r="F7" s="71"/>
      <c r="G7" s="68">
        <v>393.7</v>
      </c>
      <c r="H7" s="68">
        <f>G7+M7</f>
        <v>437.5</v>
      </c>
      <c r="I7" s="77">
        <f t="shared" si="1"/>
        <v>0.7403960060924014</v>
      </c>
      <c r="J7" s="77">
        <f aca="true" t="shared" si="4" ref="J7:J40">IF(F7&gt;0,H7/F7,0)</f>
        <v>0</v>
      </c>
      <c r="K7" s="68">
        <v>414.3</v>
      </c>
      <c r="L7" s="77">
        <f t="shared" si="3"/>
        <v>1.0559980690321022</v>
      </c>
      <c r="M7" s="68">
        <v>43.8</v>
      </c>
      <c r="N7" s="68">
        <v>46</v>
      </c>
      <c r="O7" s="77">
        <f t="shared" si="2"/>
        <v>0.9521739130434782</v>
      </c>
      <c r="P7" s="71"/>
      <c r="Q7" s="71"/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45</v>
      </c>
      <c r="H9" s="68">
        <f>G9+M9</f>
        <v>45.4</v>
      </c>
      <c r="I9" s="77">
        <f t="shared" si="1"/>
        <v>0</v>
      </c>
      <c r="J9" s="77">
        <f t="shared" si="4"/>
        <v>0</v>
      </c>
      <c r="K9" s="71"/>
      <c r="L9" s="77">
        <f t="shared" si="3"/>
        <v>0</v>
      </c>
      <c r="M9" s="71">
        <v>0.4</v>
      </c>
      <c r="N9" s="71"/>
      <c r="O9" s="77">
        <f t="shared" si="2"/>
        <v>0</v>
      </c>
      <c r="P9" s="71">
        <v>0.2</v>
      </c>
      <c r="Q9" s="71"/>
      <c r="R9" s="71"/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728</v>
      </c>
      <c r="D10" s="72">
        <f t="shared" si="5"/>
        <v>0</v>
      </c>
      <c r="E10" s="72">
        <f t="shared" si="5"/>
        <v>728</v>
      </c>
      <c r="F10" s="72"/>
      <c r="G10" s="72">
        <f>SUM(G11:G14)</f>
        <v>545.5999999999999</v>
      </c>
      <c r="H10" s="72">
        <f t="shared" si="5"/>
        <v>627.9000000000001</v>
      </c>
      <c r="I10" s="66">
        <f t="shared" si="1"/>
        <v>0.8625000000000002</v>
      </c>
      <c r="J10" s="66">
        <f>IF(F10&gt;0,H10/F10,0)</f>
        <v>0</v>
      </c>
      <c r="K10" s="72">
        <f>SUM(K11:K14)</f>
        <v>513.1</v>
      </c>
      <c r="L10" s="66">
        <f t="shared" si="3"/>
        <v>1.223738062755798</v>
      </c>
      <c r="M10" s="72">
        <f>SUM(M11:M14)</f>
        <v>82.30000000000001</v>
      </c>
      <c r="N10" s="72">
        <f>SUM(N11:N14)</f>
        <v>67.2</v>
      </c>
      <c r="O10" s="66">
        <f t="shared" si="2"/>
        <v>1.2247023809523812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329.2</v>
      </c>
      <c r="D11" s="71"/>
      <c r="E11" s="67">
        <f>C11+D11</f>
        <v>329.2</v>
      </c>
      <c r="F11" s="67"/>
      <c r="G11" s="71">
        <v>267.7</v>
      </c>
      <c r="H11" s="69">
        <f>G11+M11</f>
        <v>307</v>
      </c>
      <c r="I11" s="70">
        <f t="shared" si="1"/>
        <v>0.9325637910085055</v>
      </c>
      <c r="J11" s="70"/>
      <c r="K11" s="71">
        <v>232.8</v>
      </c>
      <c r="L11" s="70">
        <f t="shared" si="3"/>
        <v>1.3187285223367697</v>
      </c>
      <c r="M11" s="71">
        <v>39.3</v>
      </c>
      <c r="N11" s="71">
        <v>31.2</v>
      </c>
      <c r="O11" s="70">
        <f t="shared" si="2"/>
        <v>1.2596153846153846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1.8</v>
      </c>
      <c r="D12" s="71"/>
      <c r="E12" s="67">
        <f>C12+D12</f>
        <v>1.8</v>
      </c>
      <c r="F12" s="67"/>
      <c r="G12" s="71">
        <v>1.6</v>
      </c>
      <c r="H12" s="69">
        <f>G12+M12</f>
        <v>1.8</v>
      </c>
      <c r="I12" s="70">
        <f t="shared" si="1"/>
        <v>1</v>
      </c>
      <c r="J12" s="70"/>
      <c r="K12" s="71">
        <v>1.7</v>
      </c>
      <c r="L12" s="70">
        <f t="shared" si="3"/>
        <v>1.0588235294117647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438.3</v>
      </c>
      <c r="D13" s="71"/>
      <c r="E13" s="67">
        <f>C13+D13</f>
        <v>438.3</v>
      </c>
      <c r="F13" s="67"/>
      <c r="G13" s="71">
        <v>307.5</v>
      </c>
      <c r="H13" s="69">
        <f>G13+M13</f>
        <v>353.4</v>
      </c>
      <c r="I13" s="70">
        <f t="shared" si="1"/>
        <v>0.8062970568104038</v>
      </c>
      <c r="J13" s="70"/>
      <c r="K13" s="71">
        <v>319.7</v>
      </c>
      <c r="L13" s="70">
        <f t="shared" si="3"/>
        <v>1.1054113231154208</v>
      </c>
      <c r="M13" s="71">
        <v>45.9</v>
      </c>
      <c r="N13" s="71">
        <v>40.1</v>
      </c>
      <c r="O13" s="70">
        <f t="shared" si="2"/>
        <v>1.1446384039900248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-41.3</v>
      </c>
      <c r="D14" s="71"/>
      <c r="E14" s="67">
        <f>C14+D14</f>
        <v>-41.3</v>
      </c>
      <c r="F14" s="67"/>
      <c r="G14" s="71">
        <v>-31.2</v>
      </c>
      <c r="H14" s="69">
        <f>G14+M14</f>
        <v>-34.3</v>
      </c>
      <c r="I14" s="70">
        <f>H14/E14</f>
        <v>0.8305084745762712</v>
      </c>
      <c r="J14" s="70"/>
      <c r="K14" s="71">
        <v>-41.1</v>
      </c>
      <c r="L14" s="70">
        <f t="shared" si="3"/>
        <v>0</v>
      </c>
      <c r="M14" s="71">
        <v>-3.1</v>
      </c>
      <c r="N14" s="71">
        <v>-4.3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162</v>
      </c>
      <c r="D17" s="73">
        <f t="shared" si="7"/>
        <v>0</v>
      </c>
      <c r="E17" s="73">
        <f t="shared" si="7"/>
        <v>162</v>
      </c>
      <c r="F17" s="73">
        <f t="shared" si="7"/>
        <v>0</v>
      </c>
      <c r="G17" s="72">
        <f>G18+G21</f>
        <v>108.6</v>
      </c>
      <c r="H17" s="73">
        <f t="shared" si="7"/>
        <v>118</v>
      </c>
      <c r="I17" s="87">
        <f t="shared" si="1"/>
        <v>0.7283950617283951</v>
      </c>
      <c r="J17" s="87">
        <f t="shared" si="4"/>
        <v>0</v>
      </c>
      <c r="K17" s="72">
        <f>K18+K21</f>
        <v>100.8</v>
      </c>
      <c r="L17" s="87">
        <f t="shared" si="3"/>
        <v>1.1706349206349207</v>
      </c>
      <c r="M17" s="72">
        <f>M18+M21</f>
        <v>9.399999999999999</v>
      </c>
      <c r="N17" s="72">
        <f>N18+N21</f>
        <v>-0.9999999999999998</v>
      </c>
      <c r="O17" s="87">
        <f t="shared" si="2"/>
        <v>0</v>
      </c>
      <c r="P17" s="72">
        <f>P18+P21</f>
        <v>25.6</v>
      </c>
      <c r="Q17" s="72">
        <f>Q18+Q21</f>
        <v>17.6</v>
      </c>
      <c r="R17" s="72">
        <f>R18+R21</f>
        <v>17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128</v>
      </c>
      <c r="D18" s="68">
        <f t="shared" si="8"/>
        <v>0</v>
      </c>
      <c r="E18" s="68">
        <f t="shared" si="8"/>
        <v>128</v>
      </c>
      <c r="F18" s="68">
        <f t="shared" si="8"/>
        <v>0</v>
      </c>
      <c r="G18" s="71">
        <f>G19+G20</f>
        <v>103</v>
      </c>
      <c r="H18" s="68">
        <f t="shared" si="8"/>
        <v>112.2</v>
      </c>
      <c r="I18" s="77">
        <f t="shared" si="1"/>
        <v>0.8765625</v>
      </c>
      <c r="J18" s="77">
        <f t="shared" si="4"/>
        <v>0</v>
      </c>
      <c r="K18" s="71">
        <f>K19+K20</f>
        <v>102.1</v>
      </c>
      <c r="L18" s="77">
        <f t="shared" si="3"/>
        <v>1.0989226248775712</v>
      </c>
      <c r="M18" s="71">
        <f>M19+M20</f>
        <v>9.2</v>
      </c>
      <c r="N18" s="71">
        <f>N19+N20</f>
        <v>1.3</v>
      </c>
      <c r="O18" s="77">
        <f t="shared" si="2"/>
        <v>7.076923076923076</v>
      </c>
      <c r="P18" s="71">
        <f>P19+P20</f>
        <v>17.200000000000003</v>
      </c>
      <c r="Q18" s="71">
        <f>Q19+Q20</f>
        <v>14</v>
      </c>
      <c r="R18" s="71">
        <f>R19+R20</f>
        <v>13.4</v>
      </c>
    </row>
    <row r="19" spans="1:18" ht="18">
      <c r="A19" s="13" t="s">
        <v>100</v>
      </c>
      <c r="B19" s="13">
        <v>1060603310</v>
      </c>
      <c r="C19" s="71">
        <v>85</v>
      </c>
      <c r="D19" s="68"/>
      <c r="E19" s="71">
        <f>C19+D19</f>
        <v>85</v>
      </c>
      <c r="F19" s="71"/>
      <c r="G19" s="71">
        <v>99.4</v>
      </c>
      <c r="H19" s="68">
        <f>G19+M19</f>
        <v>108.10000000000001</v>
      </c>
      <c r="I19" s="77">
        <f t="shared" si="1"/>
        <v>1.2717647058823531</v>
      </c>
      <c r="J19" s="77">
        <f t="shared" si="4"/>
        <v>0</v>
      </c>
      <c r="K19" s="71">
        <v>91.1</v>
      </c>
      <c r="L19" s="77">
        <f t="shared" si="3"/>
        <v>1.1866081229418224</v>
      </c>
      <c r="M19" s="71">
        <v>8.7</v>
      </c>
      <c r="N19" s="71">
        <v>1.2</v>
      </c>
      <c r="O19" s="77">
        <f t="shared" si="2"/>
        <v>7.25</v>
      </c>
      <c r="P19" s="71">
        <v>0.1</v>
      </c>
      <c r="Q19" s="71">
        <v>1.3</v>
      </c>
      <c r="R19" s="71">
        <v>1.3</v>
      </c>
    </row>
    <row r="20" spans="1:18" ht="18">
      <c r="A20" s="13" t="s">
        <v>101</v>
      </c>
      <c r="B20" s="13">
        <v>1060604310</v>
      </c>
      <c r="C20" s="71">
        <v>43</v>
      </c>
      <c r="D20" s="68"/>
      <c r="E20" s="71">
        <f>C20+D20</f>
        <v>43</v>
      </c>
      <c r="F20" s="71"/>
      <c r="G20" s="71">
        <v>3.6</v>
      </c>
      <c r="H20" s="68">
        <f>G20+M20</f>
        <v>4.1</v>
      </c>
      <c r="I20" s="77">
        <f t="shared" si="1"/>
        <v>0.09534883720930232</v>
      </c>
      <c r="J20" s="77">
        <f t="shared" si="4"/>
        <v>0</v>
      </c>
      <c r="K20" s="71">
        <v>11</v>
      </c>
      <c r="L20" s="77">
        <f t="shared" si="3"/>
        <v>0.3727272727272727</v>
      </c>
      <c r="M20" s="71">
        <v>0.5</v>
      </c>
      <c r="N20" s="71">
        <v>0.1</v>
      </c>
      <c r="O20" s="77">
        <f t="shared" si="2"/>
        <v>5</v>
      </c>
      <c r="P20" s="71">
        <v>17.1</v>
      </c>
      <c r="Q20" s="71">
        <v>12.7</v>
      </c>
      <c r="R20" s="71">
        <v>12.1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5.6</v>
      </c>
      <c r="H21" s="68">
        <f>G21+M21</f>
        <v>5.8</v>
      </c>
      <c r="I21" s="77">
        <f t="shared" si="1"/>
        <v>0.17058823529411765</v>
      </c>
      <c r="J21" s="77">
        <f t="shared" si="4"/>
        <v>0</v>
      </c>
      <c r="K21" s="71">
        <v>-1.3</v>
      </c>
      <c r="L21" s="77">
        <f t="shared" si="3"/>
        <v>0</v>
      </c>
      <c r="M21" s="71">
        <v>0.2</v>
      </c>
      <c r="N21" s="71">
        <v>-2.3</v>
      </c>
      <c r="O21" s="77">
        <f t="shared" si="2"/>
        <v>0</v>
      </c>
      <c r="P21" s="71">
        <v>8.4</v>
      </c>
      <c r="Q21" s="71">
        <v>3.6</v>
      </c>
      <c r="R21" s="71">
        <v>3.6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3.6</v>
      </c>
      <c r="H22" s="73">
        <f>G22+M22</f>
        <v>4</v>
      </c>
      <c r="I22" s="87">
        <f t="shared" si="1"/>
        <v>1.3333333333333333</v>
      </c>
      <c r="J22" s="87">
        <f t="shared" si="4"/>
        <v>0</v>
      </c>
      <c r="K22" s="72">
        <v>4.6</v>
      </c>
      <c r="L22" s="87">
        <f t="shared" si="3"/>
        <v>0.8695652173913044</v>
      </c>
      <c r="M22" s="72">
        <v>0.4</v>
      </c>
      <c r="N22" s="72">
        <v>0.1</v>
      </c>
      <c r="O22" s="87">
        <f t="shared" si="2"/>
        <v>4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14</v>
      </c>
      <c r="D24" s="86">
        <f t="shared" si="9"/>
        <v>271.6</v>
      </c>
      <c r="E24" s="86">
        <f t="shared" si="9"/>
        <v>285.6</v>
      </c>
      <c r="F24" s="86">
        <f t="shared" si="9"/>
        <v>0</v>
      </c>
      <c r="G24" s="86">
        <f>G25+G29+G33+G31+G32+G30</f>
        <v>24.3</v>
      </c>
      <c r="H24" s="86">
        <f t="shared" si="9"/>
        <v>26.8</v>
      </c>
      <c r="I24" s="90">
        <f t="shared" si="1"/>
        <v>0.0938375350140056</v>
      </c>
      <c r="J24" s="90">
        <f t="shared" si="4"/>
        <v>0</v>
      </c>
      <c r="K24" s="86">
        <f>K25+K29+K33+K31+K32+K30</f>
        <v>150.2</v>
      </c>
      <c r="L24" s="90">
        <f t="shared" si="3"/>
        <v>0.17842876165113183</v>
      </c>
      <c r="M24" s="86">
        <f>M25+M29+M33+M31+M32+M30</f>
        <v>2.5</v>
      </c>
      <c r="N24" s="86">
        <f>N25+N29+N33+N31+N32+N30</f>
        <v>19.9</v>
      </c>
      <c r="O24" s="90">
        <f t="shared" si="2"/>
        <v>0.1256281407035176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14</v>
      </c>
      <c r="D25" s="72">
        <f t="shared" si="10"/>
        <v>271.6</v>
      </c>
      <c r="E25" s="72">
        <f t="shared" si="10"/>
        <v>285.6</v>
      </c>
      <c r="F25" s="72">
        <f t="shared" si="10"/>
        <v>0</v>
      </c>
      <c r="G25" s="72">
        <f>G26+G28+G27</f>
        <v>24.2</v>
      </c>
      <c r="H25" s="72">
        <f t="shared" si="10"/>
        <v>26.7</v>
      </c>
      <c r="I25" s="87">
        <f t="shared" si="1"/>
        <v>0.09348739495798318</v>
      </c>
      <c r="J25" s="87">
        <f t="shared" si="4"/>
        <v>0</v>
      </c>
      <c r="K25" s="72">
        <f>K26+K28+K27</f>
        <v>34.7</v>
      </c>
      <c r="L25" s="87">
        <f t="shared" si="3"/>
        <v>0.7694524495677233</v>
      </c>
      <c r="M25" s="72">
        <f>M26+M28+M27</f>
        <v>2.5</v>
      </c>
      <c r="N25" s="72">
        <f>N26+N28+N27</f>
        <v>4</v>
      </c>
      <c r="O25" s="87">
        <f t="shared" si="2"/>
        <v>0.625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14</v>
      </c>
      <c r="D28" s="68">
        <f>54.3+17.3+200</f>
        <v>271.6</v>
      </c>
      <c r="E28" s="71">
        <f t="shared" si="11"/>
        <v>285.6</v>
      </c>
      <c r="F28" s="71"/>
      <c r="G28" s="71">
        <v>24.2</v>
      </c>
      <c r="H28" s="68">
        <f t="shared" si="12"/>
        <v>26.7</v>
      </c>
      <c r="I28" s="77">
        <f t="shared" si="1"/>
        <v>0.09348739495798318</v>
      </c>
      <c r="J28" s="77">
        <f t="shared" si="4"/>
        <v>0</v>
      </c>
      <c r="K28" s="71">
        <v>34.7</v>
      </c>
      <c r="L28" s="77">
        <f t="shared" si="3"/>
        <v>0.7694524495677233</v>
      </c>
      <c r="M28" s="71">
        <v>2.5</v>
      </c>
      <c r="N28" s="71">
        <v>4</v>
      </c>
      <c r="O28" s="77">
        <f t="shared" si="2"/>
        <v>0.625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/>
      <c r="D29" s="72"/>
      <c r="E29" s="72">
        <f t="shared" si="11"/>
        <v>0</v>
      </c>
      <c r="F29" s="72"/>
      <c r="G29" s="72"/>
      <c r="H29" s="73">
        <f t="shared" si="12"/>
        <v>0</v>
      </c>
      <c r="I29" s="87">
        <f t="shared" si="1"/>
        <v>0</v>
      </c>
      <c r="J29" s="87">
        <f t="shared" si="4"/>
        <v>0</v>
      </c>
      <c r="K29" s="72">
        <v>115.3</v>
      </c>
      <c r="L29" s="87">
        <f t="shared" si="3"/>
        <v>0</v>
      </c>
      <c r="M29" s="72"/>
      <c r="N29" s="72">
        <v>15.9</v>
      </c>
      <c r="O29" s="87">
        <f t="shared" si="2"/>
        <v>0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0.1</v>
      </c>
      <c r="H33" s="73">
        <f t="shared" si="13"/>
        <v>0.1</v>
      </c>
      <c r="I33" s="87">
        <f>IF(E33&gt;0,H33/E33,0)</f>
        <v>0</v>
      </c>
      <c r="J33" s="87">
        <f>IF(F33&gt;0,H33/F33,0)</f>
        <v>0</v>
      </c>
      <c r="K33" s="73">
        <f>SUM(K34:K35)</f>
        <v>0.2</v>
      </c>
      <c r="L33" s="87">
        <f t="shared" si="3"/>
        <v>0.5</v>
      </c>
      <c r="M33" s="73">
        <f>SUM(M34:M35)</f>
        <v>0</v>
      </c>
      <c r="N33" s="73">
        <f>SUM(N34:N35)</f>
        <v>0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>
        <v>0.1</v>
      </c>
      <c r="H35" s="68">
        <f>G35+M35</f>
        <v>0.1</v>
      </c>
      <c r="I35" s="77">
        <f>IF(E35&gt;0,H35/E35,0)</f>
        <v>0</v>
      </c>
      <c r="J35" s="77">
        <f>IF(F35&gt;0,H35/F35,0)</f>
        <v>0</v>
      </c>
      <c r="K35" s="71">
        <v>0.2</v>
      </c>
      <c r="L35" s="77">
        <f>IF(K35&gt;0,H35/K35,0)</f>
        <v>0.5</v>
      </c>
      <c r="M35" s="71"/>
      <c r="N35" s="71"/>
      <c r="O35" s="77">
        <f t="shared" si="14"/>
        <v>0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1497.9</v>
      </c>
      <c r="D36" s="78">
        <f t="shared" si="15"/>
        <v>271.6</v>
      </c>
      <c r="E36" s="78">
        <f t="shared" si="15"/>
        <v>1769.5</v>
      </c>
      <c r="F36" s="79" t="e">
        <f t="shared" si="15"/>
        <v>#REF!</v>
      </c>
      <c r="G36" s="79">
        <f>G5+G24</f>
        <v>1120.8</v>
      </c>
      <c r="H36" s="79">
        <f t="shared" si="15"/>
        <v>1259.6000000000001</v>
      </c>
      <c r="I36" s="91">
        <f t="shared" si="1"/>
        <v>0.7118395026843742</v>
      </c>
      <c r="J36" s="91" t="e">
        <f t="shared" si="4"/>
        <v>#REF!</v>
      </c>
      <c r="K36" s="79">
        <f>K5+K24</f>
        <v>1183.0000000000002</v>
      </c>
      <c r="L36" s="91">
        <f t="shared" si="3"/>
        <v>1.064750633981403</v>
      </c>
      <c r="M36" s="79">
        <f>M5+M24</f>
        <v>138.8</v>
      </c>
      <c r="N36" s="79">
        <f>N5+N24</f>
        <v>132.20000000000002</v>
      </c>
      <c r="O36" s="91">
        <f t="shared" si="14"/>
        <v>1.0499243570347958</v>
      </c>
      <c r="P36" s="79">
        <f>P5+P24</f>
        <v>25.8</v>
      </c>
      <c r="Q36" s="79">
        <f>Q5+Q24</f>
        <v>17.6</v>
      </c>
      <c r="R36" s="79">
        <f>R5+R24</f>
        <v>17</v>
      </c>
      <c r="S36" s="161"/>
      <c r="T36" s="159"/>
    </row>
    <row r="37" spans="1:18" ht="18">
      <c r="A37" s="9" t="s">
        <v>92</v>
      </c>
      <c r="B37" s="9"/>
      <c r="C37" s="79">
        <f aca="true" t="shared" si="16" ref="C37:H37">C36-C10</f>
        <v>769.9000000000001</v>
      </c>
      <c r="D37" s="78">
        <f t="shared" si="16"/>
        <v>271.6</v>
      </c>
      <c r="E37" s="78">
        <f t="shared" si="16"/>
        <v>1041.5</v>
      </c>
      <c r="F37" s="79" t="e">
        <f t="shared" si="16"/>
        <v>#REF!</v>
      </c>
      <c r="G37" s="79">
        <f>G36-G10</f>
        <v>575.2</v>
      </c>
      <c r="H37" s="79">
        <f t="shared" si="16"/>
        <v>631.7</v>
      </c>
      <c r="I37" s="91">
        <f>IF(E37&gt;0,H37/E37,0)</f>
        <v>0.6065290446471436</v>
      </c>
      <c r="J37" s="91" t="e">
        <f>IF(F37&gt;0,H37/F37,0)</f>
        <v>#REF!</v>
      </c>
      <c r="K37" s="79">
        <f>K36-K10</f>
        <v>669.9000000000002</v>
      </c>
      <c r="L37" s="91">
        <f t="shared" si="3"/>
        <v>0.9429765636662186</v>
      </c>
      <c r="M37" s="79">
        <f>M36-M10</f>
        <v>56.5</v>
      </c>
      <c r="N37" s="79">
        <f>N36-N10</f>
        <v>65.00000000000001</v>
      </c>
      <c r="O37" s="91">
        <f t="shared" si="14"/>
        <v>0.869230769230769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2537.1</v>
      </c>
      <c r="D38" s="83">
        <f>150+115+5.5</f>
        <v>270.5</v>
      </c>
      <c r="E38" s="71">
        <f>C38+D38</f>
        <v>2807.6</v>
      </c>
      <c r="F38" s="71"/>
      <c r="G38" s="71">
        <v>1692.5</v>
      </c>
      <c r="H38" s="68">
        <f>G38+M38</f>
        <v>1901.9</v>
      </c>
      <c r="I38" s="77">
        <f t="shared" si="1"/>
        <v>0.6774113121527283</v>
      </c>
      <c r="J38" s="77">
        <f t="shared" si="4"/>
        <v>0</v>
      </c>
      <c r="K38" s="71">
        <v>1779.5</v>
      </c>
      <c r="L38" s="77">
        <f t="shared" si="3"/>
        <v>1.068783366114077</v>
      </c>
      <c r="M38" s="71">
        <v>209.4</v>
      </c>
      <c r="N38" s="71">
        <v>185.5</v>
      </c>
      <c r="O38" s="77">
        <f t="shared" si="14"/>
        <v>1.1288409703504043</v>
      </c>
      <c r="P38" s="71"/>
      <c r="Q38" s="71"/>
      <c r="R38" s="71"/>
      <c r="S38" s="176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4035</v>
      </c>
      <c r="D40" s="78">
        <f>D36+D38+D39</f>
        <v>542.1</v>
      </c>
      <c r="E40" s="78">
        <f>E36+E38+E39</f>
        <v>4577.1</v>
      </c>
      <c r="F40" s="88" t="e">
        <f>F36+F38</f>
        <v>#REF!</v>
      </c>
      <c r="G40" s="79">
        <f>G36+G38+G39</f>
        <v>2813.3</v>
      </c>
      <c r="H40" s="79">
        <f>H36+H38+H39</f>
        <v>3161.5</v>
      </c>
      <c r="I40" s="91">
        <f t="shared" si="1"/>
        <v>0.6907211990124751</v>
      </c>
      <c r="J40" s="91" t="e">
        <f t="shared" si="4"/>
        <v>#REF!</v>
      </c>
      <c r="K40" s="79">
        <f>K36+K38+K39</f>
        <v>2962.5</v>
      </c>
      <c r="L40" s="91">
        <f t="shared" si="3"/>
        <v>1.0671729957805907</v>
      </c>
      <c r="M40" s="79">
        <f>M36+M38+M39</f>
        <v>348.20000000000005</v>
      </c>
      <c r="N40" s="79">
        <f>N36+N38+N39</f>
        <v>317.70000000000005</v>
      </c>
      <c r="O40" s="91">
        <f t="shared" si="14"/>
        <v>1.0960025180988353</v>
      </c>
      <c r="P40" s="92">
        <f>P36+P38</f>
        <v>25.8</v>
      </c>
      <c r="Q40" s="79">
        <f>Q36+Q38</f>
        <v>17.6</v>
      </c>
      <c r="R40" s="79">
        <f>R36+R38</f>
        <v>17</v>
      </c>
    </row>
    <row r="41" ht="18">
      <c r="I41" s="155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11.7539062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9"/>
      <c r="O1" s="49"/>
      <c r="P1" s="26"/>
      <c r="Q1" s="26"/>
      <c r="R1" s="26"/>
    </row>
    <row r="2" spans="1:18" ht="15.75">
      <c r="A2" s="26"/>
      <c r="B2" s="197" t="s">
        <v>132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3.5" customHeight="1">
      <c r="A3" s="187" t="s">
        <v>3</v>
      </c>
      <c r="B3" s="187" t="s">
        <v>4</v>
      </c>
      <c r="C3" s="187" t="s">
        <v>115</v>
      </c>
      <c r="D3" s="187" t="s">
        <v>24</v>
      </c>
      <c r="E3" s="187" t="s">
        <v>116</v>
      </c>
      <c r="F3" s="187" t="s">
        <v>99</v>
      </c>
      <c r="G3" s="187" t="s">
        <v>120</v>
      </c>
      <c r="H3" s="187" t="s">
        <v>117</v>
      </c>
      <c r="I3" s="187"/>
      <c r="J3" s="187"/>
      <c r="K3" s="187" t="s">
        <v>113</v>
      </c>
      <c r="L3" s="187"/>
      <c r="M3" s="187" t="s">
        <v>123</v>
      </c>
      <c r="N3" s="187" t="s">
        <v>124</v>
      </c>
      <c r="O3" s="187" t="s">
        <v>30</v>
      </c>
      <c r="P3" s="187" t="s">
        <v>9</v>
      </c>
      <c r="Q3" s="187"/>
      <c r="R3" s="187"/>
    </row>
    <row r="4" spans="1:18" ht="93.75" customHeight="1">
      <c r="A4" s="196"/>
      <c r="B4" s="196"/>
      <c r="C4" s="187"/>
      <c r="D4" s="187"/>
      <c r="E4" s="187"/>
      <c r="F4" s="187"/>
      <c r="G4" s="187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7"/>
      <c r="N4" s="187"/>
      <c r="O4" s="187"/>
      <c r="P4" s="122" t="s">
        <v>118</v>
      </c>
      <c r="Q4" s="122" t="s">
        <v>121</v>
      </c>
      <c r="R4" s="122" t="s">
        <v>128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2009.1999999999998</v>
      </c>
      <c r="D5" s="89">
        <f t="shared" si="0"/>
        <v>0</v>
      </c>
      <c r="E5" s="89">
        <f t="shared" si="0"/>
        <v>2009.1999999999998</v>
      </c>
      <c r="F5" s="89">
        <f t="shared" si="0"/>
        <v>0</v>
      </c>
      <c r="G5" s="89">
        <f t="shared" si="0"/>
        <v>1227</v>
      </c>
      <c r="H5" s="89">
        <f t="shared" si="0"/>
        <v>1407.6</v>
      </c>
      <c r="I5" s="90">
        <f aca="true" t="shared" si="1" ref="I5:I39">IF(E5&gt;0,H5/E5,0)</f>
        <v>0.7005773442166037</v>
      </c>
      <c r="J5" s="90">
        <f>IF(F5&gt;0,H5/F5,0)</f>
        <v>0</v>
      </c>
      <c r="K5" s="89">
        <f>K6+K15+K17+K22+K23+K10</f>
        <v>1365.1999999999998</v>
      </c>
      <c r="L5" s="90">
        <f>IF(K5&gt;0,H5/K5,0)</f>
        <v>1.0310577204805158</v>
      </c>
      <c r="M5" s="89">
        <f>M6+M15+M17+M22+M23+M10</f>
        <v>180.60000000000002</v>
      </c>
      <c r="N5" s="89">
        <f>N6+N15+N17+N22+N23+N10</f>
        <v>130.1</v>
      </c>
      <c r="O5" s="90">
        <f aca="true" t="shared" si="2" ref="O5:O39">IF(N5&gt;0,M5/N5,0)</f>
        <v>1.3881629515757112</v>
      </c>
      <c r="P5" s="89">
        <f>P6+P15+P17+P22+P23+P10</f>
        <v>57.00000000000001</v>
      </c>
      <c r="Q5" s="89">
        <f>Q6+Q15+Q17+Q22+Q23+Q10</f>
        <v>42</v>
      </c>
      <c r="R5" s="89">
        <f>R6+R15+R17+R22+R23+R10</f>
        <v>42.4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843.1</v>
      </c>
      <c r="D6" s="72">
        <f t="shared" si="3"/>
        <v>0</v>
      </c>
      <c r="E6" s="72">
        <f t="shared" si="3"/>
        <v>843.1</v>
      </c>
      <c r="F6" s="72">
        <f t="shared" si="3"/>
        <v>0</v>
      </c>
      <c r="G6" s="72">
        <f t="shared" si="3"/>
        <v>505</v>
      </c>
      <c r="H6" s="72">
        <f t="shared" si="3"/>
        <v>568.8</v>
      </c>
      <c r="I6" s="87">
        <f t="shared" si="1"/>
        <v>0.6746530660657098</v>
      </c>
      <c r="J6" s="87">
        <f>IF(F6&gt;0,H6/F6,0)</f>
        <v>0</v>
      </c>
      <c r="K6" s="93">
        <f>SUM(K7:K9)</f>
        <v>617.9</v>
      </c>
      <c r="L6" s="87">
        <f aca="true" t="shared" si="4" ref="L6:L39">IF(K6&gt;0,H6/K6,0)</f>
        <v>0.9205373037708366</v>
      </c>
      <c r="M6" s="72">
        <f>M7+M8+M9</f>
        <v>63.8</v>
      </c>
      <c r="N6" s="72">
        <f>N7+N8+N9</f>
        <v>65.2</v>
      </c>
      <c r="O6" s="87">
        <f t="shared" si="2"/>
        <v>0.9785276073619631</v>
      </c>
      <c r="P6" s="72">
        <f>P7+P8+P9</f>
        <v>8.6</v>
      </c>
      <c r="Q6" s="72">
        <f>Q7+Q8+Q9</f>
        <v>8.4</v>
      </c>
      <c r="R6" s="72">
        <f>R7+R8+R9</f>
        <v>8.6</v>
      </c>
      <c r="T6" s="26"/>
    </row>
    <row r="7" spans="1:20" ht="21" customHeight="1">
      <c r="A7" s="10" t="s">
        <v>44</v>
      </c>
      <c r="B7" s="13">
        <v>1010201001</v>
      </c>
      <c r="C7" s="71">
        <v>843.1</v>
      </c>
      <c r="D7" s="83"/>
      <c r="E7" s="71">
        <f>C7+D7</f>
        <v>843.1</v>
      </c>
      <c r="F7" s="71"/>
      <c r="G7" s="68">
        <v>503.9</v>
      </c>
      <c r="H7" s="68">
        <f>G7+M7</f>
        <v>567.6999999999999</v>
      </c>
      <c r="I7" s="77">
        <f t="shared" si="1"/>
        <v>0.6733483572529948</v>
      </c>
      <c r="J7" s="77">
        <f aca="true" t="shared" si="5" ref="J7:J37">IF(F7&gt;0,H7/F7,0)</f>
        <v>0</v>
      </c>
      <c r="K7" s="68">
        <v>617.9</v>
      </c>
      <c r="L7" s="77">
        <f t="shared" si="4"/>
        <v>0.9187570804337271</v>
      </c>
      <c r="M7" s="68">
        <v>63.8</v>
      </c>
      <c r="N7" s="68">
        <v>65.2</v>
      </c>
      <c r="O7" s="77">
        <f t="shared" si="2"/>
        <v>0.9785276073619631</v>
      </c>
      <c r="P7" s="71">
        <v>8.4</v>
      </c>
      <c r="Q7" s="71">
        <v>8.4</v>
      </c>
      <c r="R7" s="71">
        <v>8.6</v>
      </c>
      <c r="T7" s="173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1.1</v>
      </c>
      <c r="H9" s="68">
        <f>G9+M9</f>
        <v>1.1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>
        <v>0.2</v>
      </c>
      <c r="Q9" s="71"/>
      <c r="R9" s="71"/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646.1</v>
      </c>
      <c r="D10" s="72">
        <f t="shared" si="6"/>
        <v>0</v>
      </c>
      <c r="E10" s="72">
        <f t="shared" si="6"/>
        <v>646.1</v>
      </c>
      <c r="F10" s="72"/>
      <c r="G10" s="72">
        <f>SUM(G11:G14)</f>
        <v>483</v>
      </c>
      <c r="H10" s="72">
        <f t="shared" si="6"/>
        <v>555.7</v>
      </c>
      <c r="I10" s="66">
        <f t="shared" si="1"/>
        <v>0.8600835783934376</v>
      </c>
      <c r="J10" s="66">
        <f>IF(F10&gt;0,H10/F10,0)</f>
        <v>0</v>
      </c>
      <c r="K10" s="72">
        <f>SUM(K11:K14)</f>
        <v>454.20000000000005</v>
      </c>
      <c r="L10" s="66">
        <f t="shared" si="4"/>
        <v>1.2234698370761778</v>
      </c>
      <c r="M10" s="72">
        <f>SUM(M11:M14)</f>
        <v>72.7</v>
      </c>
      <c r="N10" s="72">
        <f>SUM(N11:N14)</f>
        <v>59.5</v>
      </c>
      <c r="O10" s="66">
        <f t="shared" si="2"/>
        <v>1.2218487394957984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292.1</v>
      </c>
      <c r="D11" s="71"/>
      <c r="E11" s="67">
        <f>C11+D11</f>
        <v>292.1</v>
      </c>
      <c r="F11" s="67"/>
      <c r="G11" s="71">
        <v>237</v>
      </c>
      <c r="H11" s="69">
        <f>G11+M11</f>
        <v>271.7</v>
      </c>
      <c r="I11" s="70">
        <f t="shared" si="1"/>
        <v>0.9301609038000683</v>
      </c>
      <c r="J11" s="70">
        <f>IF(F11&gt;0,H11/F11,0)</f>
        <v>0</v>
      </c>
      <c r="K11" s="71">
        <v>206</v>
      </c>
      <c r="L11" s="70">
        <f t="shared" si="4"/>
        <v>1.3189320388349515</v>
      </c>
      <c r="M11" s="71">
        <v>34.7</v>
      </c>
      <c r="N11" s="71">
        <v>27.7</v>
      </c>
      <c r="O11" s="70">
        <f t="shared" si="2"/>
        <v>1.2527075812274369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1.4</v>
      </c>
      <c r="H12" s="69">
        <f>G12+M12</f>
        <v>1.5</v>
      </c>
      <c r="I12" s="70">
        <f t="shared" si="1"/>
        <v>0.9375</v>
      </c>
      <c r="J12" s="70">
        <f>IF(F12&gt;0,H12/F12,0)</f>
        <v>0</v>
      </c>
      <c r="K12" s="71">
        <v>1.5</v>
      </c>
      <c r="L12" s="70">
        <f t="shared" si="4"/>
        <v>1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389</v>
      </c>
      <c r="D13" s="71"/>
      <c r="E13" s="67">
        <f>C13+D13</f>
        <v>389</v>
      </c>
      <c r="F13" s="67"/>
      <c r="G13" s="71">
        <v>272.2</v>
      </c>
      <c r="H13" s="69">
        <f>G13+M13</f>
        <v>312.8</v>
      </c>
      <c r="I13" s="70">
        <f t="shared" si="1"/>
        <v>0.8041131105398458</v>
      </c>
      <c r="J13" s="70">
        <f>IF(F13&gt;0,H13/F13,0)</f>
        <v>0</v>
      </c>
      <c r="K13" s="71">
        <v>283.1</v>
      </c>
      <c r="L13" s="70">
        <f t="shared" si="4"/>
        <v>1.1049099258212645</v>
      </c>
      <c r="M13" s="71">
        <v>40.6</v>
      </c>
      <c r="N13" s="71">
        <v>35.5</v>
      </c>
      <c r="O13" s="70">
        <f t="shared" si="2"/>
        <v>1.143661971830986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-36.6</v>
      </c>
      <c r="D14" s="71"/>
      <c r="E14" s="67">
        <f>C14+D14</f>
        <v>-36.6</v>
      </c>
      <c r="F14" s="67"/>
      <c r="G14" s="71">
        <v>-27.6</v>
      </c>
      <c r="H14" s="69">
        <f>G14+M14</f>
        <v>-30.3</v>
      </c>
      <c r="I14" s="70">
        <f t="shared" si="1"/>
        <v>0</v>
      </c>
      <c r="J14" s="70">
        <f>IF(F14&gt;0,H14/F14,0)</f>
        <v>0</v>
      </c>
      <c r="K14" s="71">
        <v>-36.4</v>
      </c>
      <c r="L14" s="70">
        <f t="shared" si="4"/>
        <v>0</v>
      </c>
      <c r="M14" s="71">
        <v>-2.7</v>
      </c>
      <c r="N14" s="71">
        <v>-3.8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185</v>
      </c>
      <c r="D15" s="73">
        <f t="shared" si="7"/>
        <v>0</v>
      </c>
      <c r="E15" s="73">
        <f t="shared" si="7"/>
        <v>185</v>
      </c>
      <c r="F15" s="73">
        <f t="shared" si="7"/>
        <v>0</v>
      </c>
      <c r="G15" s="72">
        <f>G16</f>
        <v>5.2</v>
      </c>
      <c r="H15" s="73">
        <f t="shared" si="7"/>
        <v>5.2</v>
      </c>
      <c r="I15" s="87">
        <f t="shared" si="1"/>
        <v>0.02810810810810811</v>
      </c>
      <c r="J15" s="87">
        <f t="shared" si="5"/>
        <v>0</v>
      </c>
      <c r="K15" s="72">
        <f>K16</f>
        <v>182.9</v>
      </c>
      <c r="L15" s="87">
        <f t="shared" si="4"/>
        <v>0.028430836522689993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185</v>
      </c>
      <c r="D16" s="68"/>
      <c r="E16" s="71">
        <f>C16+D16</f>
        <v>185</v>
      </c>
      <c r="F16" s="71"/>
      <c r="G16" s="71">
        <v>5.2</v>
      </c>
      <c r="H16" s="68">
        <f>G16+M16</f>
        <v>5.2</v>
      </c>
      <c r="I16" s="77">
        <f t="shared" si="1"/>
        <v>0.02810810810810811</v>
      </c>
      <c r="J16" s="77">
        <f t="shared" si="5"/>
        <v>0</v>
      </c>
      <c r="K16" s="71">
        <v>182.9</v>
      </c>
      <c r="L16" s="77">
        <f t="shared" si="4"/>
        <v>0.028430836522689993</v>
      </c>
      <c r="M16" s="71"/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330</v>
      </c>
      <c r="D17" s="73">
        <f t="shared" si="8"/>
        <v>0</v>
      </c>
      <c r="E17" s="73">
        <f t="shared" si="8"/>
        <v>330</v>
      </c>
      <c r="F17" s="73">
        <f t="shared" si="8"/>
        <v>0</v>
      </c>
      <c r="G17" s="72">
        <f>G18+G21</f>
        <v>228.6</v>
      </c>
      <c r="H17" s="73">
        <f t="shared" si="8"/>
        <v>254.8</v>
      </c>
      <c r="I17" s="87">
        <f t="shared" si="1"/>
        <v>0.7721212121212122</v>
      </c>
      <c r="J17" s="87">
        <f t="shared" si="5"/>
        <v>0</v>
      </c>
      <c r="K17" s="72">
        <f>K18+K21</f>
        <v>104.89999999999999</v>
      </c>
      <c r="L17" s="87">
        <f t="shared" si="4"/>
        <v>2.428979980934223</v>
      </c>
      <c r="M17" s="72">
        <f>M18+M21</f>
        <v>26.2</v>
      </c>
      <c r="N17" s="72">
        <f>N18+N21</f>
        <v>4.6000000000000005</v>
      </c>
      <c r="O17" s="87">
        <f t="shared" si="2"/>
        <v>5.695652173913043</v>
      </c>
      <c r="P17" s="72">
        <f>P18+P21</f>
        <v>48.400000000000006</v>
      </c>
      <c r="Q17" s="72">
        <f>Q18+Q21</f>
        <v>33.6</v>
      </c>
      <c r="R17" s="72">
        <f>R18+R21</f>
        <v>33.8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283</v>
      </c>
      <c r="D18" s="68">
        <f t="shared" si="9"/>
        <v>0</v>
      </c>
      <c r="E18" s="68">
        <f t="shared" si="9"/>
        <v>283</v>
      </c>
      <c r="F18" s="68">
        <f t="shared" si="9"/>
        <v>0</v>
      </c>
      <c r="G18" s="68">
        <f>G19+G20</f>
        <v>227.5</v>
      </c>
      <c r="H18" s="68">
        <f t="shared" si="9"/>
        <v>251.8</v>
      </c>
      <c r="I18" s="77">
        <f t="shared" si="1"/>
        <v>0.8897526501766785</v>
      </c>
      <c r="J18" s="77">
        <f t="shared" si="5"/>
        <v>0</v>
      </c>
      <c r="K18" s="68">
        <f>K19+K20</f>
        <v>94.8</v>
      </c>
      <c r="L18" s="77">
        <f t="shared" si="4"/>
        <v>2.6561181434599157</v>
      </c>
      <c r="M18" s="68">
        <f>M19+M20</f>
        <v>24.3</v>
      </c>
      <c r="N18" s="68">
        <f>N19+N20</f>
        <v>4.2</v>
      </c>
      <c r="O18" s="77">
        <f t="shared" si="2"/>
        <v>5.785714285714286</v>
      </c>
      <c r="P18" s="71">
        <f>P19+P20</f>
        <v>34.2</v>
      </c>
      <c r="Q18" s="71">
        <f>Q19+Q20</f>
        <v>25.3</v>
      </c>
      <c r="R18" s="71">
        <f>R19+R20</f>
        <v>25.3</v>
      </c>
      <c r="T18" s="26"/>
    </row>
    <row r="19" spans="1:20" ht="18">
      <c r="A19" s="13" t="s">
        <v>100</v>
      </c>
      <c r="B19" s="13">
        <v>1060603310</v>
      </c>
      <c r="C19" s="71">
        <v>196</v>
      </c>
      <c r="D19" s="68"/>
      <c r="E19" s="71">
        <f>C19+D19</f>
        <v>196</v>
      </c>
      <c r="F19" s="71"/>
      <c r="G19" s="71">
        <v>217.7</v>
      </c>
      <c r="H19" s="68">
        <f>G19+M19</f>
        <v>241.5</v>
      </c>
      <c r="I19" s="77">
        <f t="shared" si="1"/>
        <v>1.2321428571428572</v>
      </c>
      <c r="J19" s="77">
        <f t="shared" si="5"/>
        <v>0</v>
      </c>
      <c r="K19" s="71">
        <v>83.1</v>
      </c>
      <c r="L19" s="77">
        <f t="shared" si="4"/>
        <v>2.9061371841155235</v>
      </c>
      <c r="M19" s="71">
        <v>23.8</v>
      </c>
      <c r="N19" s="71">
        <v>3</v>
      </c>
      <c r="O19" s="77">
        <f t="shared" si="2"/>
        <v>7.933333333333334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87</v>
      </c>
      <c r="D20" s="68"/>
      <c r="E20" s="71">
        <f>C20+D20</f>
        <v>87</v>
      </c>
      <c r="F20" s="71"/>
      <c r="G20" s="71">
        <v>9.8</v>
      </c>
      <c r="H20" s="68">
        <f>G20+M20</f>
        <v>10.3</v>
      </c>
      <c r="I20" s="77">
        <f t="shared" si="1"/>
        <v>0.11839080459770115</v>
      </c>
      <c r="J20" s="77">
        <f t="shared" si="5"/>
        <v>0</v>
      </c>
      <c r="K20" s="71">
        <v>11.7</v>
      </c>
      <c r="L20" s="77">
        <f t="shared" si="4"/>
        <v>0.8803418803418804</v>
      </c>
      <c r="M20" s="71">
        <v>0.5</v>
      </c>
      <c r="N20" s="71">
        <v>1.2</v>
      </c>
      <c r="O20" s="77">
        <f t="shared" si="2"/>
        <v>0.4166666666666667</v>
      </c>
      <c r="P20" s="71">
        <v>34.2</v>
      </c>
      <c r="Q20" s="71">
        <v>25.3</v>
      </c>
      <c r="R20" s="71">
        <v>25.3</v>
      </c>
      <c r="T20" s="26"/>
    </row>
    <row r="21" spans="1:20" ht="18">
      <c r="A21" s="13" t="s">
        <v>12</v>
      </c>
      <c r="B21" s="13">
        <v>1060103010</v>
      </c>
      <c r="C21" s="71">
        <v>47</v>
      </c>
      <c r="D21" s="68"/>
      <c r="E21" s="71">
        <f>C21+D21</f>
        <v>47</v>
      </c>
      <c r="F21" s="71"/>
      <c r="G21" s="71">
        <v>1.1</v>
      </c>
      <c r="H21" s="68">
        <f>G21+M21</f>
        <v>3</v>
      </c>
      <c r="I21" s="77">
        <f t="shared" si="1"/>
        <v>0.06382978723404255</v>
      </c>
      <c r="J21" s="77">
        <f t="shared" si="5"/>
        <v>0</v>
      </c>
      <c r="K21" s="71">
        <v>10.1</v>
      </c>
      <c r="L21" s="77">
        <f t="shared" si="4"/>
        <v>0.297029702970297</v>
      </c>
      <c r="M21" s="71">
        <v>1.9</v>
      </c>
      <c r="N21" s="71">
        <v>0.4</v>
      </c>
      <c r="O21" s="77">
        <f t="shared" si="2"/>
        <v>4.749999999999999</v>
      </c>
      <c r="P21" s="71">
        <v>14.2</v>
      </c>
      <c r="Q21" s="71">
        <v>8.3</v>
      </c>
      <c r="R21" s="71">
        <v>8.5</v>
      </c>
      <c r="T21" s="173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5.2</v>
      </c>
      <c r="H22" s="73">
        <f>G22+M22</f>
        <v>23.099999999999998</v>
      </c>
      <c r="I22" s="87">
        <f t="shared" si="1"/>
        <v>4.619999999999999</v>
      </c>
      <c r="J22" s="87">
        <f t="shared" si="5"/>
        <v>0</v>
      </c>
      <c r="K22" s="72">
        <v>5.3</v>
      </c>
      <c r="L22" s="87">
        <f t="shared" si="4"/>
        <v>4.3584905660377355</v>
      </c>
      <c r="M22" s="72">
        <v>17.9</v>
      </c>
      <c r="N22" s="72">
        <v>0.8</v>
      </c>
      <c r="O22" s="87">
        <f t="shared" si="2"/>
        <v>22.374999999999996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106</v>
      </c>
      <c r="D24" s="86">
        <f t="shared" si="10"/>
        <v>0</v>
      </c>
      <c r="E24" s="86">
        <f t="shared" si="10"/>
        <v>106</v>
      </c>
      <c r="F24" s="86">
        <f t="shared" si="10"/>
        <v>0</v>
      </c>
      <c r="G24" s="86">
        <f>G25+G28+G32+G29+G31+G30</f>
        <v>61.4</v>
      </c>
      <c r="H24" s="86">
        <f t="shared" si="10"/>
        <v>72.8</v>
      </c>
      <c r="I24" s="90">
        <f t="shared" si="1"/>
        <v>0.6867924528301886</v>
      </c>
      <c r="J24" s="90">
        <f t="shared" si="5"/>
        <v>0</v>
      </c>
      <c r="K24" s="86">
        <f>K25+K28+K32+K29+K31+K30</f>
        <v>548.9999999999999</v>
      </c>
      <c r="L24" s="90">
        <f t="shared" si="4"/>
        <v>0.13260473588342442</v>
      </c>
      <c r="M24" s="86">
        <f>M25+M28+M32+M29+M31+M30</f>
        <v>11.4</v>
      </c>
      <c r="N24" s="86">
        <f>N25+N28+N32+N29+N31+N30</f>
        <v>81.30000000000001</v>
      </c>
      <c r="O24" s="90">
        <f t="shared" si="2"/>
        <v>0.14022140221402213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106</v>
      </c>
      <c r="D25" s="72">
        <f t="shared" si="11"/>
        <v>0</v>
      </c>
      <c r="E25" s="72">
        <f t="shared" si="11"/>
        <v>106</v>
      </c>
      <c r="F25" s="72">
        <f t="shared" si="11"/>
        <v>0</v>
      </c>
      <c r="G25" s="72">
        <f>G26+G27</f>
        <v>59.9</v>
      </c>
      <c r="H25" s="72">
        <f t="shared" si="11"/>
        <v>71.3</v>
      </c>
      <c r="I25" s="87">
        <f t="shared" si="1"/>
        <v>0.6726415094339623</v>
      </c>
      <c r="J25" s="87">
        <f t="shared" si="5"/>
        <v>0</v>
      </c>
      <c r="K25" s="72">
        <f>K26+K27</f>
        <v>73.8</v>
      </c>
      <c r="L25" s="87">
        <f t="shared" si="4"/>
        <v>0.9661246612466124</v>
      </c>
      <c r="M25" s="72">
        <f>M26+M27</f>
        <v>11.4</v>
      </c>
      <c r="N25" s="72">
        <f>N26+N27</f>
        <v>4.4</v>
      </c>
      <c r="O25" s="87">
        <f t="shared" si="2"/>
        <v>2.590909090909091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106</v>
      </c>
      <c r="D27" s="83"/>
      <c r="E27" s="71">
        <f t="shared" si="12"/>
        <v>106</v>
      </c>
      <c r="F27" s="71"/>
      <c r="G27" s="71">
        <v>59.9</v>
      </c>
      <c r="H27" s="68">
        <f t="shared" si="13"/>
        <v>71.3</v>
      </c>
      <c r="I27" s="77">
        <f t="shared" si="1"/>
        <v>0.6726415094339623</v>
      </c>
      <c r="J27" s="77">
        <f t="shared" si="5"/>
        <v>0</v>
      </c>
      <c r="K27" s="71">
        <v>73.8</v>
      </c>
      <c r="L27" s="77">
        <f t="shared" si="4"/>
        <v>0.9661246612466124</v>
      </c>
      <c r="M27" s="71">
        <v>11.4</v>
      </c>
      <c r="N27" s="71">
        <v>4.4</v>
      </c>
      <c r="O27" s="77">
        <f t="shared" si="2"/>
        <v>2.590909090909091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/>
      <c r="D28" s="72"/>
      <c r="E28" s="72">
        <f t="shared" si="12"/>
        <v>0</v>
      </c>
      <c r="F28" s="72"/>
      <c r="G28" s="72">
        <v>1.4</v>
      </c>
      <c r="H28" s="73">
        <f t="shared" si="13"/>
        <v>1.4</v>
      </c>
      <c r="I28" s="87">
        <f t="shared" si="1"/>
        <v>0</v>
      </c>
      <c r="J28" s="87">
        <f t="shared" si="5"/>
        <v>0</v>
      </c>
      <c r="K28" s="72">
        <v>467.9</v>
      </c>
      <c r="L28" s="87">
        <f t="shared" si="4"/>
        <v>0.002992092327420389</v>
      </c>
      <c r="M28" s="72"/>
      <c r="N28" s="72">
        <v>76.9</v>
      </c>
      <c r="O28" s="87">
        <f t="shared" si="2"/>
        <v>0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>
        <v>7.3</v>
      </c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0.1</v>
      </c>
      <c r="H32" s="72">
        <f t="shared" si="14"/>
        <v>0.1</v>
      </c>
      <c r="I32" s="87">
        <f>IF(E32&gt;0,H32/E32,0)</f>
        <v>0</v>
      </c>
      <c r="J32" s="87">
        <f>IF(F32&gt;0,H32/F32,0)</f>
        <v>0</v>
      </c>
      <c r="K32" s="72">
        <f>SUM(K33:K34)</f>
        <v>0</v>
      </c>
      <c r="L32" s="87">
        <f t="shared" si="4"/>
        <v>0</v>
      </c>
      <c r="M32" s="72">
        <f t="shared" si="14"/>
        <v>0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0.1</v>
      </c>
      <c r="H34" s="68">
        <f>G34+M34</f>
        <v>0.1</v>
      </c>
      <c r="I34" s="77">
        <f>IF(E34&gt;0,H34/E34,0)</f>
        <v>0</v>
      </c>
      <c r="J34" s="77">
        <f>IF(F34&gt;0,H34/F34,0)</f>
        <v>0</v>
      </c>
      <c r="K34" s="71"/>
      <c r="L34" s="77">
        <f>IF(K34&gt;0,H34/K34,0)</f>
        <v>0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2115.2</v>
      </c>
      <c r="D35" s="78">
        <f t="shared" si="15"/>
        <v>0</v>
      </c>
      <c r="E35" s="78">
        <f t="shared" si="15"/>
        <v>2115.2</v>
      </c>
      <c r="F35" s="79">
        <f t="shared" si="15"/>
        <v>0</v>
      </c>
      <c r="G35" s="79">
        <f>G5+G24</f>
        <v>1288.4</v>
      </c>
      <c r="H35" s="79">
        <f t="shared" si="15"/>
        <v>1480.3999999999999</v>
      </c>
      <c r="I35" s="91">
        <f t="shared" si="1"/>
        <v>0.6998865355521936</v>
      </c>
      <c r="J35" s="91">
        <f t="shared" si="5"/>
        <v>0</v>
      </c>
      <c r="K35" s="79">
        <f>K5+K24</f>
        <v>1914.1999999999998</v>
      </c>
      <c r="L35" s="91">
        <f t="shared" si="4"/>
        <v>0.7733779124438408</v>
      </c>
      <c r="M35" s="79">
        <f>M5+M24</f>
        <v>192.00000000000003</v>
      </c>
      <c r="N35" s="79">
        <f>N5+N24</f>
        <v>211.4</v>
      </c>
      <c r="O35" s="91">
        <f t="shared" si="2"/>
        <v>0.9082308420056765</v>
      </c>
      <c r="P35" s="79">
        <f>P5+P24</f>
        <v>57.00000000000001</v>
      </c>
      <c r="Q35" s="79">
        <f>Q5+Q24</f>
        <v>42</v>
      </c>
      <c r="R35" s="79">
        <f>R5+R24</f>
        <v>42.4</v>
      </c>
      <c r="T35" s="26"/>
    </row>
    <row r="36" spans="1:20" ht="18">
      <c r="A36" s="9" t="s">
        <v>92</v>
      </c>
      <c r="B36" s="9"/>
      <c r="C36" s="79">
        <f aca="true" t="shared" si="16" ref="C36:H36">C35-C10</f>
        <v>1469.1</v>
      </c>
      <c r="D36" s="78">
        <f t="shared" si="16"/>
        <v>0</v>
      </c>
      <c r="E36" s="78">
        <f t="shared" si="16"/>
        <v>1469.1</v>
      </c>
      <c r="F36" s="79">
        <f t="shared" si="16"/>
        <v>0</v>
      </c>
      <c r="G36" s="79">
        <f>G35-G10</f>
        <v>805.4000000000001</v>
      </c>
      <c r="H36" s="79">
        <f t="shared" si="16"/>
        <v>924.6999999999998</v>
      </c>
      <c r="I36" s="91">
        <f>IF(E36&gt;0,H36/E36,0)</f>
        <v>0.6294329861820162</v>
      </c>
      <c r="J36" s="91">
        <f>IF(F36&gt;0,H36/F36,0)</f>
        <v>0</v>
      </c>
      <c r="K36" s="79">
        <f>K35-K10</f>
        <v>1459.9999999999998</v>
      </c>
      <c r="L36" s="91">
        <f t="shared" si="4"/>
        <v>0.6333561643835616</v>
      </c>
      <c r="M36" s="79">
        <f>M35-M10</f>
        <v>119.30000000000003</v>
      </c>
      <c r="N36" s="79">
        <f>N35-N10</f>
        <v>151.9</v>
      </c>
      <c r="O36" s="91">
        <f t="shared" si="2"/>
        <v>0.7853851217906519</v>
      </c>
      <c r="P36" s="79"/>
      <c r="Q36" s="79"/>
      <c r="R36" s="79"/>
      <c r="T36" s="175"/>
    </row>
    <row r="37" spans="1:20" ht="18">
      <c r="A37" s="13" t="s">
        <v>25</v>
      </c>
      <c r="B37" s="13">
        <v>2000000000</v>
      </c>
      <c r="C37" s="83">
        <v>5880.4</v>
      </c>
      <c r="D37" s="83">
        <v>50</v>
      </c>
      <c r="E37" s="83">
        <f>C37+D37</f>
        <v>5930.4</v>
      </c>
      <c r="F37" s="71"/>
      <c r="G37" s="71">
        <v>3560</v>
      </c>
      <c r="H37" s="68">
        <f>G37+M37</f>
        <v>4039.7</v>
      </c>
      <c r="I37" s="77">
        <f t="shared" si="1"/>
        <v>0.6811850802644004</v>
      </c>
      <c r="J37" s="77">
        <f t="shared" si="5"/>
        <v>0</v>
      </c>
      <c r="K37" s="71">
        <v>6847.3</v>
      </c>
      <c r="L37" s="77">
        <f t="shared" si="4"/>
        <v>0.589969769106071</v>
      </c>
      <c r="M37" s="71">
        <v>479.7</v>
      </c>
      <c r="N37" s="71">
        <v>4389.7</v>
      </c>
      <c r="O37" s="77">
        <f t="shared" si="2"/>
        <v>0.10927853839670137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2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53.7</v>
      </c>
      <c r="L38" s="77">
        <f t="shared" si="4"/>
        <v>0</v>
      </c>
      <c r="M38" s="71"/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7995.599999999999</v>
      </c>
      <c r="D39" s="88">
        <f t="shared" si="17"/>
        <v>50</v>
      </c>
      <c r="E39" s="78">
        <f t="shared" si="17"/>
        <v>8045.599999999999</v>
      </c>
      <c r="F39" s="79">
        <f t="shared" si="17"/>
        <v>0</v>
      </c>
      <c r="G39" s="79">
        <f t="shared" si="17"/>
        <v>4848.4</v>
      </c>
      <c r="H39" s="79">
        <f t="shared" si="17"/>
        <v>5520.099999999999</v>
      </c>
      <c r="I39" s="91">
        <f t="shared" si="1"/>
        <v>0.6861017201948891</v>
      </c>
      <c r="J39" s="91"/>
      <c r="K39" s="79">
        <f>K35+K37+K38</f>
        <v>8815.2</v>
      </c>
      <c r="L39" s="91">
        <f t="shared" si="4"/>
        <v>0.6262024684635629</v>
      </c>
      <c r="M39" s="79">
        <f>M35+M37+M38</f>
        <v>671.7</v>
      </c>
      <c r="N39" s="79">
        <f>N35+N37+N38</f>
        <v>4601.099999999999</v>
      </c>
      <c r="O39" s="91">
        <f t="shared" si="2"/>
        <v>0.14598682923648695</v>
      </c>
      <c r="P39" s="92">
        <f>P35+P37</f>
        <v>57.00000000000001</v>
      </c>
      <c r="Q39" s="79">
        <f>Q35+Q37</f>
        <v>42</v>
      </c>
      <c r="R39" s="79">
        <f>R35+R37</f>
        <v>42.4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92" t="s">
        <v>11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49"/>
      <c r="O1" s="49"/>
      <c r="P1" s="26"/>
      <c r="Q1" s="26"/>
      <c r="R1" s="26"/>
    </row>
    <row r="2" spans="1:18" ht="15.75">
      <c r="A2" s="26"/>
      <c r="B2" s="197" t="s">
        <v>133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3.5" customHeight="1">
      <c r="A3" s="187" t="s">
        <v>3</v>
      </c>
      <c r="B3" s="187" t="s">
        <v>4</v>
      </c>
      <c r="C3" s="187" t="s">
        <v>115</v>
      </c>
      <c r="D3" s="187" t="s">
        <v>24</v>
      </c>
      <c r="E3" s="187" t="s">
        <v>116</v>
      </c>
      <c r="F3" s="187" t="s">
        <v>99</v>
      </c>
      <c r="G3" s="187" t="s">
        <v>120</v>
      </c>
      <c r="H3" s="187" t="s">
        <v>117</v>
      </c>
      <c r="I3" s="187"/>
      <c r="J3" s="187"/>
      <c r="K3" s="187" t="s">
        <v>113</v>
      </c>
      <c r="L3" s="187"/>
      <c r="M3" s="187" t="s">
        <v>123</v>
      </c>
      <c r="N3" s="187" t="s">
        <v>124</v>
      </c>
      <c r="O3" s="187" t="s">
        <v>30</v>
      </c>
      <c r="P3" s="187" t="s">
        <v>9</v>
      </c>
      <c r="Q3" s="187"/>
      <c r="R3" s="187"/>
    </row>
    <row r="4" spans="1:18" ht="104.25" customHeight="1">
      <c r="A4" s="196"/>
      <c r="B4" s="196"/>
      <c r="C4" s="187"/>
      <c r="D4" s="187"/>
      <c r="E4" s="187"/>
      <c r="F4" s="187"/>
      <c r="G4" s="187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7"/>
      <c r="N4" s="187"/>
      <c r="O4" s="187"/>
      <c r="P4" s="122" t="s">
        <v>118</v>
      </c>
      <c r="Q4" s="122" t="s">
        <v>121</v>
      </c>
      <c r="R4" s="122" t="s">
        <v>128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1007</v>
      </c>
      <c r="D5" s="89">
        <f t="shared" si="0"/>
        <v>0</v>
      </c>
      <c r="E5" s="89">
        <f t="shared" si="0"/>
        <v>1007</v>
      </c>
      <c r="F5" s="89">
        <f t="shared" si="0"/>
        <v>0</v>
      </c>
      <c r="G5" s="89">
        <f t="shared" si="0"/>
        <v>702.5</v>
      </c>
      <c r="H5" s="89">
        <f t="shared" si="0"/>
        <v>807</v>
      </c>
      <c r="I5" s="90">
        <f aca="true" t="shared" si="1" ref="I5:I39">IF(E5&gt;0,H5/E5,0)</f>
        <v>0.8013902681231381</v>
      </c>
      <c r="J5" s="90">
        <f>IF(F5&gt;0,H5/F5,0)</f>
        <v>0</v>
      </c>
      <c r="K5" s="89">
        <f>K6+K15+K17+K22+K23+K10</f>
        <v>676.7</v>
      </c>
      <c r="L5" s="90">
        <f>IF(K5&gt;0,H5/K5,0)</f>
        <v>1.1925520910299985</v>
      </c>
      <c r="M5" s="89">
        <f>M6+M15+M17+M22+M23+M10</f>
        <v>104.50000000000001</v>
      </c>
      <c r="N5" s="89">
        <f>N6+N15+N17+N22+N23+N10</f>
        <v>82.69999999999999</v>
      </c>
      <c r="O5" s="90">
        <f aca="true" t="shared" si="2" ref="O5:O32">IF(N5&gt;0,M5/N5,0)</f>
        <v>1.2636033857315603</v>
      </c>
      <c r="P5" s="89">
        <f>P6+P15+P17+P22+P23+P10</f>
        <v>32.099999999999994</v>
      </c>
      <c r="Q5" s="89">
        <f>Q6+Q15+Q17+Q22+Q23+Q10</f>
        <v>24.1</v>
      </c>
      <c r="R5" s="89">
        <f>R6+R15+R17+R22+R23+R10</f>
        <v>23.4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211.9</v>
      </c>
      <c r="D6" s="72">
        <f t="shared" si="3"/>
        <v>0</v>
      </c>
      <c r="E6" s="72">
        <f t="shared" si="3"/>
        <v>211.9</v>
      </c>
      <c r="F6" s="72">
        <f t="shared" si="3"/>
        <v>0</v>
      </c>
      <c r="G6" s="72">
        <f t="shared" si="3"/>
        <v>121.2</v>
      </c>
      <c r="H6" s="72">
        <f t="shared" si="3"/>
        <v>139.7</v>
      </c>
      <c r="I6" s="87">
        <f t="shared" si="1"/>
        <v>0.6592732420953279</v>
      </c>
      <c r="J6" s="87">
        <f>IF(F6&gt;0,H6/F6,0)</f>
        <v>0</v>
      </c>
      <c r="K6" s="72">
        <f>K7+K8+K9</f>
        <v>147.4</v>
      </c>
      <c r="L6" s="87">
        <f aca="true" t="shared" si="4" ref="L6:L39">IF(K6&gt;0,H6/K6,0)</f>
        <v>0.9477611940298506</v>
      </c>
      <c r="M6" s="72">
        <f>M7+M8+M9</f>
        <v>18.5</v>
      </c>
      <c r="N6" s="72">
        <f>N7+N8+N9</f>
        <v>16.1</v>
      </c>
      <c r="O6" s="87">
        <f t="shared" si="2"/>
        <v>1.1490683229813663</v>
      </c>
      <c r="P6" s="72">
        <f>P7+P8+P9</f>
        <v>0</v>
      </c>
      <c r="Q6" s="72">
        <f>Q7+Q8+Q9</f>
        <v>0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211.9</v>
      </c>
      <c r="D7" s="68"/>
      <c r="E7" s="71">
        <f>C7+D7</f>
        <v>211.9</v>
      </c>
      <c r="F7" s="71"/>
      <c r="G7" s="68">
        <v>121.2</v>
      </c>
      <c r="H7" s="68">
        <f>G7+M7</f>
        <v>139.7</v>
      </c>
      <c r="I7" s="77">
        <f t="shared" si="1"/>
        <v>0.6592732420953279</v>
      </c>
      <c r="J7" s="77">
        <f aca="true" t="shared" si="5" ref="J7:J37">IF(F7&gt;0,H7/F7,0)</f>
        <v>0</v>
      </c>
      <c r="K7" s="68">
        <v>147.4</v>
      </c>
      <c r="L7" s="77">
        <f t="shared" si="4"/>
        <v>0.9477611940298506</v>
      </c>
      <c r="M7" s="68">
        <v>18.5</v>
      </c>
      <c r="N7" s="68">
        <v>16.1</v>
      </c>
      <c r="O7" s="77">
        <f t="shared" si="2"/>
        <v>1.1490683229813663</v>
      </c>
      <c r="P7" s="71"/>
      <c r="Q7" s="71"/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724.1</v>
      </c>
      <c r="D10" s="72">
        <f t="shared" si="6"/>
        <v>0</v>
      </c>
      <c r="E10" s="72">
        <f t="shared" si="6"/>
        <v>724.1</v>
      </c>
      <c r="F10" s="72">
        <f t="shared" si="6"/>
        <v>0</v>
      </c>
      <c r="G10" s="72">
        <f>SUM(G11:G14)</f>
        <v>542.6</v>
      </c>
      <c r="H10" s="72">
        <f t="shared" si="6"/>
        <v>624.3</v>
      </c>
      <c r="I10" s="66">
        <f t="shared" si="1"/>
        <v>0.862173732909819</v>
      </c>
      <c r="J10" s="66">
        <f>IF(F10&gt;0,H10/F10,0)</f>
        <v>0</v>
      </c>
      <c r="K10" s="72">
        <f>SUM(K11:K14)</f>
        <v>510.2</v>
      </c>
      <c r="L10" s="66">
        <f t="shared" si="4"/>
        <v>1.2236377891023127</v>
      </c>
      <c r="M10" s="72">
        <f>SUM(M11:M14)</f>
        <v>81.70000000000002</v>
      </c>
      <c r="N10" s="72">
        <f>SUM(N11:N14)</f>
        <v>66.89999999999999</v>
      </c>
      <c r="O10" s="66">
        <f t="shared" si="2"/>
        <v>1.2212257100149482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327.4</v>
      </c>
      <c r="D11" s="71"/>
      <c r="E11" s="67">
        <f>C11+D11</f>
        <v>327.4</v>
      </c>
      <c r="F11" s="67"/>
      <c r="G11" s="71">
        <v>266.2</v>
      </c>
      <c r="H11" s="69">
        <f>G11+M11</f>
        <v>305.2</v>
      </c>
      <c r="I11" s="70">
        <f t="shared" si="1"/>
        <v>0.9321930360415395</v>
      </c>
      <c r="J11" s="70">
        <f>IF(F11&gt;0,H11/F11,0)</f>
        <v>0</v>
      </c>
      <c r="K11" s="71">
        <v>231.3</v>
      </c>
      <c r="L11" s="70">
        <f t="shared" si="4"/>
        <v>1.3194984868136619</v>
      </c>
      <c r="M11" s="71">
        <v>39</v>
      </c>
      <c r="N11" s="71">
        <v>31</v>
      </c>
      <c r="O11" s="70">
        <f t="shared" si="2"/>
        <v>1.2580645161290323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1.8</v>
      </c>
      <c r="D12" s="71"/>
      <c r="E12" s="67">
        <f>C12+D12</f>
        <v>1.8</v>
      </c>
      <c r="F12" s="67"/>
      <c r="G12" s="71">
        <v>1.5</v>
      </c>
      <c r="H12" s="69">
        <f>G12+M12</f>
        <v>1.7</v>
      </c>
      <c r="I12" s="70">
        <f t="shared" si="1"/>
        <v>0.9444444444444444</v>
      </c>
      <c r="J12" s="70">
        <f>IF(F12&gt;0,H12/F12,0)</f>
        <v>0</v>
      </c>
      <c r="K12" s="71">
        <v>1.7</v>
      </c>
      <c r="L12" s="70">
        <f t="shared" si="4"/>
        <v>1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436</v>
      </c>
      <c r="D13" s="71"/>
      <c r="E13" s="67">
        <f>C13+D13</f>
        <v>436</v>
      </c>
      <c r="F13" s="67"/>
      <c r="G13" s="71">
        <v>305.8</v>
      </c>
      <c r="H13" s="69">
        <f>G13+M13</f>
        <v>351.40000000000003</v>
      </c>
      <c r="I13" s="70">
        <f t="shared" si="1"/>
        <v>0.8059633027522937</v>
      </c>
      <c r="J13" s="70">
        <f>IF(F13&gt;0,H13/F13,0)</f>
        <v>0</v>
      </c>
      <c r="K13" s="71">
        <v>318</v>
      </c>
      <c r="L13" s="70">
        <f t="shared" si="4"/>
        <v>1.1050314465408806</v>
      </c>
      <c r="M13" s="71">
        <v>45.6</v>
      </c>
      <c r="N13" s="71">
        <v>39.9</v>
      </c>
      <c r="O13" s="70">
        <f t="shared" si="2"/>
        <v>1.142857142857143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-41.1</v>
      </c>
      <c r="D14" s="71"/>
      <c r="E14" s="67">
        <f>C14+D14</f>
        <v>-41.1</v>
      </c>
      <c r="F14" s="67"/>
      <c r="G14" s="71">
        <v>-30.9</v>
      </c>
      <c r="H14" s="69">
        <f>G14+M14</f>
        <v>-34</v>
      </c>
      <c r="I14" s="70">
        <f>H14/E14</f>
        <v>0.8272506082725061</v>
      </c>
      <c r="J14" s="70">
        <f>IF(F14&gt;0,H14/F14,0)</f>
        <v>0</v>
      </c>
      <c r="K14" s="71">
        <v>-40.8</v>
      </c>
      <c r="L14" s="70">
        <f t="shared" si="4"/>
        <v>0</v>
      </c>
      <c r="M14" s="71">
        <v>-3.1</v>
      </c>
      <c r="N14" s="71">
        <v>-4.2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3</v>
      </c>
      <c r="D15" s="73">
        <f t="shared" si="7"/>
        <v>0</v>
      </c>
      <c r="E15" s="73">
        <f t="shared" si="7"/>
        <v>3</v>
      </c>
      <c r="F15" s="73">
        <f t="shared" si="7"/>
        <v>0</v>
      </c>
      <c r="G15" s="72">
        <f>G16</f>
        <v>1.6</v>
      </c>
      <c r="H15" s="73">
        <f t="shared" si="7"/>
        <v>1.6</v>
      </c>
      <c r="I15" s="87">
        <f t="shared" si="1"/>
        <v>0.5333333333333333</v>
      </c>
      <c r="J15" s="87">
        <f t="shared" si="5"/>
        <v>0</v>
      </c>
      <c r="K15" s="72">
        <f>K16</f>
        <v>2.8</v>
      </c>
      <c r="L15" s="87">
        <f t="shared" si="4"/>
        <v>0.5714285714285715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3</v>
      </c>
      <c r="D16" s="68"/>
      <c r="E16" s="71">
        <f>C16+D16</f>
        <v>3</v>
      </c>
      <c r="F16" s="71"/>
      <c r="G16" s="71">
        <v>1.6</v>
      </c>
      <c r="H16" s="68">
        <f>G16+M16</f>
        <v>1.6</v>
      </c>
      <c r="I16" s="77">
        <f t="shared" si="1"/>
        <v>0.5333333333333333</v>
      </c>
      <c r="J16" s="77">
        <f t="shared" si="5"/>
        <v>0</v>
      </c>
      <c r="K16" s="71">
        <v>2.8</v>
      </c>
      <c r="L16" s="77">
        <f t="shared" si="4"/>
        <v>0.5714285714285715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65</v>
      </c>
      <c r="D17" s="73">
        <f t="shared" si="8"/>
        <v>0</v>
      </c>
      <c r="E17" s="73">
        <f t="shared" si="8"/>
        <v>65</v>
      </c>
      <c r="F17" s="73">
        <f t="shared" si="8"/>
        <v>0</v>
      </c>
      <c r="G17" s="72">
        <f>G18+G21</f>
        <v>36.1</v>
      </c>
      <c r="H17" s="73">
        <f t="shared" si="8"/>
        <v>40.4</v>
      </c>
      <c r="I17" s="87">
        <f t="shared" si="1"/>
        <v>0.6215384615384615</v>
      </c>
      <c r="J17" s="87">
        <f t="shared" si="5"/>
        <v>0</v>
      </c>
      <c r="K17" s="72">
        <f>K18+K21</f>
        <v>15.000000000000004</v>
      </c>
      <c r="L17" s="87">
        <f t="shared" si="4"/>
        <v>2.6933333333333325</v>
      </c>
      <c r="M17" s="72">
        <f>M18+M21</f>
        <v>4.3</v>
      </c>
      <c r="N17" s="72">
        <f>N18+N21</f>
        <v>-0.29999999999999893</v>
      </c>
      <c r="O17" s="87">
        <f t="shared" si="2"/>
        <v>0</v>
      </c>
      <c r="P17" s="72">
        <f>P18+P21</f>
        <v>32.099999999999994</v>
      </c>
      <c r="Q17" s="72">
        <f>Q18+Q21</f>
        <v>24.1</v>
      </c>
      <c r="R17" s="72">
        <f>R18+R21</f>
        <v>23.4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56</v>
      </c>
      <c r="D18" s="68">
        <f t="shared" si="9"/>
        <v>0</v>
      </c>
      <c r="E18" s="68">
        <f t="shared" si="9"/>
        <v>56</v>
      </c>
      <c r="F18" s="68">
        <f t="shared" si="9"/>
        <v>0</v>
      </c>
      <c r="G18" s="71">
        <f>G19+G20</f>
        <v>36.6</v>
      </c>
      <c r="H18" s="68">
        <f t="shared" si="9"/>
        <v>40.3</v>
      </c>
      <c r="I18" s="77">
        <f t="shared" si="1"/>
        <v>0.7196428571428571</v>
      </c>
      <c r="J18" s="77">
        <f t="shared" si="5"/>
        <v>0</v>
      </c>
      <c r="K18" s="71">
        <f>K19+K20</f>
        <v>20.200000000000003</v>
      </c>
      <c r="L18" s="77">
        <f t="shared" si="4"/>
        <v>1.9950495049504946</v>
      </c>
      <c r="M18" s="71">
        <f>M19+M20</f>
        <v>3.6999999999999997</v>
      </c>
      <c r="N18" s="71">
        <f>N19+N20</f>
        <v>5.300000000000001</v>
      </c>
      <c r="O18" s="77">
        <f t="shared" si="2"/>
        <v>0.6981132075471697</v>
      </c>
      <c r="P18" s="71">
        <f>P19+P20</f>
        <v>17.4</v>
      </c>
      <c r="Q18" s="71">
        <f>Q19+Q20</f>
        <v>13</v>
      </c>
      <c r="R18" s="71">
        <f>R19+R20</f>
        <v>12.3</v>
      </c>
    </row>
    <row r="19" spans="1:18" ht="18">
      <c r="A19" s="13" t="s">
        <v>100</v>
      </c>
      <c r="B19" s="13">
        <v>1060603310</v>
      </c>
      <c r="C19" s="71">
        <v>28</v>
      </c>
      <c r="D19" s="68"/>
      <c r="E19" s="71">
        <f>C19+D19</f>
        <v>28</v>
      </c>
      <c r="F19" s="71"/>
      <c r="G19" s="71">
        <v>35.6</v>
      </c>
      <c r="H19" s="68">
        <f>G19+M19</f>
        <v>35.9</v>
      </c>
      <c r="I19" s="77">
        <f t="shared" si="1"/>
        <v>1.282142857142857</v>
      </c>
      <c r="J19" s="77">
        <f t="shared" si="5"/>
        <v>0</v>
      </c>
      <c r="K19" s="71">
        <v>10.8</v>
      </c>
      <c r="L19" s="77">
        <f t="shared" si="4"/>
        <v>3.3240740740740735</v>
      </c>
      <c r="M19" s="71">
        <v>0.3</v>
      </c>
      <c r="N19" s="71">
        <v>0.9</v>
      </c>
      <c r="O19" s="77">
        <f t="shared" si="2"/>
        <v>0.3333333333333333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28</v>
      </c>
      <c r="D20" s="68"/>
      <c r="E20" s="71">
        <f>C20+D20</f>
        <v>28</v>
      </c>
      <c r="F20" s="71"/>
      <c r="G20" s="71">
        <v>1</v>
      </c>
      <c r="H20" s="68">
        <f>G20+M20</f>
        <v>4.4</v>
      </c>
      <c r="I20" s="77">
        <f t="shared" si="1"/>
        <v>0.15714285714285717</v>
      </c>
      <c r="J20" s="77">
        <f t="shared" si="5"/>
        <v>0</v>
      </c>
      <c r="K20" s="71">
        <v>9.4</v>
      </c>
      <c r="L20" s="77">
        <f t="shared" si="4"/>
        <v>0.46808510638297873</v>
      </c>
      <c r="M20" s="71">
        <v>3.4</v>
      </c>
      <c r="N20" s="71">
        <v>4.4</v>
      </c>
      <c r="O20" s="77">
        <f t="shared" si="2"/>
        <v>0.7727272727272726</v>
      </c>
      <c r="P20" s="71">
        <v>17.4</v>
      </c>
      <c r="Q20" s="71">
        <v>13</v>
      </c>
      <c r="R20" s="71">
        <v>12.3</v>
      </c>
    </row>
    <row r="21" spans="1:20" ht="18">
      <c r="A21" s="13" t="s">
        <v>12</v>
      </c>
      <c r="B21" s="13">
        <v>1060103010</v>
      </c>
      <c r="C21" s="71">
        <v>9</v>
      </c>
      <c r="D21" s="68"/>
      <c r="E21" s="71">
        <f>C21+D21</f>
        <v>9</v>
      </c>
      <c r="F21" s="71"/>
      <c r="G21" s="71">
        <v>-0.5</v>
      </c>
      <c r="H21" s="68">
        <f>G21+M21</f>
        <v>0.09999999999999998</v>
      </c>
      <c r="I21" s="77">
        <f t="shared" si="1"/>
        <v>0.011111111111111108</v>
      </c>
      <c r="J21" s="77">
        <f t="shared" si="5"/>
        <v>0</v>
      </c>
      <c r="K21" s="71">
        <v>-5.2</v>
      </c>
      <c r="L21" s="77">
        <f t="shared" si="4"/>
        <v>0</v>
      </c>
      <c r="M21" s="71">
        <v>0.6</v>
      </c>
      <c r="N21" s="71">
        <v>-5.6</v>
      </c>
      <c r="O21" s="77">
        <f t="shared" si="2"/>
        <v>0</v>
      </c>
      <c r="P21" s="71">
        <v>14.7</v>
      </c>
      <c r="Q21" s="71">
        <v>11.1</v>
      </c>
      <c r="R21" s="71">
        <v>11.1</v>
      </c>
      <c r="S21" s="130"/>
      <c r="T21" s="159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1</v>
      </c>
      <c r="H22" s="73">
        <f>G22+M22</f>
        <v>1</v>
      </c>
      <c r="I22" s="87">
        <f t="shared" si="1"/>
        <v>0.3333333333333333</v>
      </c>
      <c r="J22" s="87">
        <f t="shared" si="5"/>
        <v>0</v>
      </c>
      <c r="K22" s="72">
        <v>1.3</v>
      </c>
      <c r="L22" s="87">
        <f t="shared" si="4"/>
        <v>0.7692307692307692</v>
      </c>
      <c r="M22" s="72"/>
      <c r="N22" s="72"/>
      <c r="O22" s="87">
        <f t="shared" si="2"/>
        <v>0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120</v>
      </c>
      <c r="D24" s="76">
        <f t="shared" si="10"/>
        <v>236.8</v>
      </c>
      <c r="E24" s="76">
        <f t="shared" si="10"/>
        <v>356.8</v>
      </c>
      <c r="F24" s="76">
        <f t="shared" si="10"/>
        <v>0</v>
      </c>
      <c r="G24" s="76">
        <f>G25+G28+G32+G31+G30+G29</f>
        <v>230.7</v>
      </c>
      <c r="H24" s="76">
        <f t="shared" si="10"/>
        <v>304.49999999999994</v>
      </c>
      <c r="I24" s="90">
        <f t="shared" si="1"/>
        <v>0.8534192825112106</v>
      </c>
      <c r="J24" s="90">
        <f t="shared" si="5"/>
        <v>0</v>
      </c>
      <c r="K24" s="76">
        <f>K25+K28+K32+K31+K30+K29</f>
        <v>293.1</v>
      </c>
      <c r="L24" s="90">
        <f t="shared" si="4"/>
        <v>1.0388945752302965</v>
      </c>
      <c r="M24" s="76">
        <f>M25+M28+M32+M31+M30+M29</f>
        <v>73.8</v>
      </c>
      <c r="N24" s="76">
        <f>N25+N28+N32+N31+N30+N29</f>
        <v>51.1</v>
      </c>
      <c r="O24" s="90">
        <f t="shared" si="2"/>
        <v>1.4442270058708413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70</v>
      </c>
      <c r="D25" s="72">
        <f t="shared" si="11"/>
        <v>0</v>
      </c>
      <c r="E25" s="72">
        <f t="shared" si="11"/>
        <v>70</v>
      </c>
      <c r="F25" s="72">
        <f t="shared" si="11"/>
        <v>0</v>
      </c>
      <c r="G25" s="72">
        <f>G26+G27</f>
        <v>37.6</v>
      </c>
      <c r="H25" s="72">
        <f t="shared" si="11"/>
        <v>45.4</v>
      </c>
      <c r="I25" s="87">
        <f t="shared" si="1"/>
        <v>0.6485714285714286</v>
      </c>
      <c r="J25" s="87">
        <f t="shared" si="5"/>
        <v>0</v>
      </c>
      <c r="K25" s="72">
        <f>K26+K27</f>
        <v>59.5</v>
      </c>
      <c r="L25" s="87">
        <f t="shared" si="4"/>
        <v>0.7630252100840336</v>
      </c>
      <c r="M25" s="72">
        <f>M26+M27</f>
        <v>7.8</v>
      </c>
      <c r="N25" s="72">
        <f>N26+N27</f>
        <v>5.2</v>
      </c>
      <c r="O25" s="87">
        <f t="shared" si="2"/>
        <v>1.5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70</v>
      </c>
      <c r="D27" s="68"/>
      <c r="E27" s="71">
        <f t="shared" si="12"/>
        <v>70</v>
      </c>
      <c r="F27" s="71"/>
      <c r="G27" s="71">
        <v>37.6</v>
      </c>
      <c r="H27" s="68">
        <f t="shared" si="13"/>
        <v>45.4</v>
      </c>
      <c r="I27" s="77">
        <f t="shared" si="1"/>
        <v>0.6485714285714286</v>
      </c>
      <c r="J27" s="77">
        <f t="shared" si="5"/>
        <v>0</v>
      </c>
      <c r="K27" s="71">
        <v>59.5</v>
      </c>
      <c r="L27" s="77">
        <f t="shared" si="4"/>
        <v>0.7630252100840336</v>
      </c>
      <c r="M27" s="71">
        <v>7.8</v>
      </c>
      <c r="N27" s="71">
        <v>5.2</v>
      </c>
      <c r="O27" s="77">
        <f t="shared" si="2"/>
        <v>1.5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50</v>
      </c>
      <c r="D28" s="72">
        <f>200.3+13.5+23</f>
        <v>236.8</v>
      </c>
      <c r="E28" s="126">
        <f t="shared" si="12"/>
        <v>286.8</v>
      </c>
      <c r="F28" s="72"/>
      <c r="G28" s="72">
        <v>192.7</v>
      </c>
      <c r="H28" s="73">
        <f t="shared" si="13"/>
        <v>258.7</v>
      </c>
      <c r="I28" s="87">
        <f t="shared" si="1"/>
        <v>0.9020223152022314</v>
      </c>
      <c r="J28" s="87">
        <f t="shared" si="5"/>
        <v>0</v>
      </c>
      <c r="K28" s="72">
        <v>233.1</v>
      </c>
      <c r="L28" s="87">
        <f t="shared" si="4"/>
        <v>1.1098241098241097</v>
      </c>
      <c r="M28" s="72">
        <v>66</v>
      </c>
      <c r="N28" s="72">
        <v>45.9</v>
      </c>
      <c r="O28" s="87">
        <f t="shared" si="2"/>
        <v>1.4379084967320261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 t="shared" si="14"/>
        <v>0.4</v>
      </c>
      <c r="H32" s="72">
        <f t="shared" si="14"/>
        <v>0.4</v>
      </c>
      <c r="I32" s="87">
        <f>IF(E32&gt;0,H32/E32,0)</f>
        <v>0</v>
      </c>
      <c r="J32" s="87">
        <f>IF(F32&gt;0,H32/F32,0)</f>
        <v>0</v>
      </c>
      <c r="K32" s="72">
        <f>SUM(K33:K34)</f>
        <v>0.5</v>
      </c>
      <c r="L32" s="87">
        <f t="shared" si="4"/>
        <v>0.8</v>
      </c>
      <c r="M32" s="72">
        <f t="shared" si="14"/>
        <v>0</v>
      </c>
      <c r="N32" s="72">
        <f t="shared" si="14"/>
        <v>0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>
        <v>0.4</v>
      </c>
      <c r="H34" s="68">
        <f>G34+M34</f>
        <v>0.4</v>
      </c>
      <c r="I34" s="77">
        <f>IF(E34&gt;0,H34/E34,0)</f>
        <v>0</v>
      </c>
      <c r="J34" s="77">
        <f>IF(F34&gt;0,H34/F34,0)</f>
        <v>0</v>
      </c>
      <c r="K34" s="71">
        <v>0.5</v>
      </c>
      <c r="L34" s="77">
        <f>IF(K34&gt;0,H34/K34,0)</f>
        <v>0.8</v>
      </c>
      <c r="M34" s="71"/>
      <c r="N34" s="71"/>
      <c r="O34" s="77">
        <f t="shared" si="15"/>
        <v>0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1127</v>
      </c>
      <c r="D35" s="78">
        <f t="shared" si="16"/>
        <v>236.8</v>
      </c>
      <c r="E35" s="78">
        <f t="shared" si="16"/>
        <v>1363.8</v>
      </c>
      <c r="F35" s="79">
        <f t="shared" si="16"/>
        <v>0</v>
      </c>
      <c r="G35" s="79">
        <f>G5+G24</f>
        <v>933.2</v>
      </c>
      <c r="H35" s="79">
        <f t="shared" si="16"/>
        <v>1111.5</v>
      </c>
      <c r="I35" s="91">
        <f t="shared" si="1"/>
        <v>0.8150021997360317</v>
      </c>
      <c r="J35" s="91">
        <f t="shared" si="5"/>
        <v>0</v>
      </c>
      <c r="K35" s="79">
        <f>K5+K24</f>
        <v>969.8000000000001</v>
      </c>
      <c r="L35" s="91">
        <f t="shared" si="4"/>
        <v>1.146112600536193</v>
      </c>
      <c r="M35" s="79">
        <f>M5+M24</f>
        <v>178.3</v>
      </c>
      <c r="N35" s="79">
        <f>N5+N24</f>
        <v>133.79999999999998</v>
      </c>
      <c r="O35" s="91">
        <f t="shared" si="15"/>
        <v>1.3325859491778778</v>
      </c>
      <c r="P35" s="79">
        <f>P5+P24</f>
        <v>32.099999999999994</v>
      </c>
      <c r="Q35" s="79">
        <f>Q5+Q24</f>
        <v>24.1</v>
      </c>
      <c r="R35" s="79">
        <f>R5+R24</f>
        <v>23.4</v>
      </c>
      <c r="S35" s="177"/>
    </row>
    <row r="36" spans="1:18" ht="18">
      <c r="A36" s="9" t="s">
        <v>92</v>
      </c>
      <c r="B36" s="9"/>
      <c r="C36" s="79">
        <f aca="true" t="shared" si="17" ref="C36:H36">C35-C10</f>
        <v>402.9</v>
      </c>
      <c r="D36" s="88">
        <f t="shared" si="17"/>
        <v>236.8</v>
      </c>
      <c r="E36" s="79">
        <f t="shared" si="17"/>
        <v>639.6999999999999</v>
      </c>
      <c r="F36" s="79">
        <f t="shared" si="17"/>
        <v>0</v>
      </c>
      <c r="G36" s="79">
        <f>G35-G10</f>
        <v>390.6</v>
      </c>
      <c r="H36" s="79">
        <f t="shared" si="17"/>
        <v>487.20000000000005</v>
      </c>
      <c r="I36" s="91">
        <f>IF(E36&gt;0,H36/E36,0)</f>
        <v>0.761607003282789</v>
      </c>
      <c r="J36" s="91">
        <f>IF(F36&gt;0,H36/F36,0)</f>
        <v>0</v>
      </c>
      <c r="K36" s="79">
        <f>K35-K10</f>
        <v>459.6000000000001</v>
      </c>
      <c r="L36" s="91">
        <f t="shared" si="4"/>
        <v>1.0600522193211488</v>
      </c>
      <c r="M36" s="79">
        <f>M35-M10</f>
        <v>96.6</v>
      </c>
      <c r="N36" s="79">
        <f>N35-N10</f>
        <v>66.89999999999999</v>
      </c>
      <c r="O36" s="91">
        <f t="shared" si="15"/>
        <v>1.4439461883408073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3238.7</v>
      </c>
      <c r="D37" s="83">
        <f>150+70+5.5</f>
        <v>225.5</v>
      </c>
      <c r="E37" s="83">
        <f>C37+D37</f>
        <v>3464.2</v>
      </c>
      <c r="F37" s="71"/>
      <c r="G37" s="71">
        <v>2099.6</v>
      </c>
      <c r="H37" s="68">
        <f>G37+M37</f>
        <v>2351</v>
      </c>
      <c r="I37" s="77">
        <f t="shared" si="1"/>
        <v>0.678655966745569</v>
      </c>
      <c r="J37" s="77">
        <f t="shared" si="5"/>
        <v>0</v>
      </c>
      <c r="K37" s="71">
        <v>2136.8</v>
      </c>
      <c r="L37" s="77">
        <f t="shared" si="4"/>
        <v>1.100243354548858</v>
      </c>
      <c r="M37" s="71">
        <v>251.4</v>
      </c>
      <c r="N37" s="71">
        <v>205.4</v>
      </c>
      <c r="O37" s="77">
        <f t="shared" si="15"/>
        <v>1.2239532619279454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190</v>
      </c>
      <c r="L38" s="77">
        <f t="shared" si="4"/>
        <v>0</v>
      </c>
      <c r="M38" s="71"/>
      <c r="N38" s="71"/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4365.7</v>
      </c>
      <c r="D39" s="78">
        <f t="shared" si="18"/>
        <v>462.3</v>
      </c>
      <c r="E39" s="78">
        <f t="shared" si="18"/>
        <v>4828</v>
      </c>
      <c r="F39" s="79">
        <f t="shared" si="18"/>
        <v>0</v>
      </c>
      <c r="G39" s="79">
        <f t="shared" si="18"/>
        <v>3032.8</v>
      </c>
      <c r="H39" s="79">
        <f t="shared" si="18"/>
        <v>3462.5</v>
      </c>
      <c r="I39" s="91">
        <f t="shared" si="1"/>
        <v>0.7171706710853355</v>
      </c>
      <c r="J39" s="91"/>
      <c r="K39" s="79">
        <f>K35+K37+K38</f>
        <v>3296.6000000000004</v>
      </c>
      <c r="L39" s="91">
        <f t="shared" si="4"/>
        <v>1.0503245768367409</v>
      </c>
      <c r="M39" s="79">
        <f>M35+M37+M38</f>
        <v>429.70000000000005</v>
      </c>
      <c r="N39" s="79">
        <f>N35+N37+N38</f>
        <v>339.2</v>
      </c>
      <c r="O39" s="91">
        <f t="shared" si="15"/>
        <v>1.266804245283019</v>
      </c>
      <c r="P39" s="79">
        <f>P35+P37+P38</f>
        <v>32.099999999999994</v>
      </c>
      <c r="Q39" s="79">
        <f>Q35+Q37+Q38</f>
        <v>24.1</v>
      </c>
      <c r="R39" s="79">
        <f>R35+R37+R38</f>
        <v>23.4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49" sqref="D49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6.00390625" style="0" customWidth="1"/>
    <col min="16" max="16" width="10.625" style="0" customWidth="1"/>
    <col min="17" max="17" width="13.00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201" t="s">
        <v>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6.5" customHeight="1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ht="15.75" customHeight="1">
      <c r="A3" s="199" t="s">
        <v>3</v>
      </c>
      <c r="B3" s="199" t="s">
        <v>4</v>
      </c>
      <c r="C3" s="198" t="s">
        <v>115</v>
      </c>
      <c r="D3" s="198" t="s">
        <v>24</v>
      </c>
      <c r="E3" s="198" t="s">
        <v>116</v>
      </c>
      <c r="F3" s="198" t="s">
        <v>99</v>
      </c>
      <c r="G3" s="198" t="s">
        <v>120</v>
      </c>
      <c r="H3" s="198" t="s">
        <v>117</v>
      </c>
      <c r="I3" s="198"/>
      <c r="J3" s="198"/>
      <c r="K3" s="198" t="s">
        <v>113</v>
      </c>
      <c r="L3" s="198"/>
      <c r="M3" s="198" t="s">
        <v>123</v>
      </c>
      <c r="N3" s="198" t="s">
        <v>124</v>
      </c>
      <c r="O3" s="198" t="s">
        <v>30</v>
      </c>
      <c r="P3" s="198" t="s">
        <v>9</v>
      </c>
      <c r="Q3" s="198"/>
      <c r="R3" s="198"/>
    </row>
    <row r="4" spans="1:18" ht="99" customHeight="1">
      <c r="A4" s="200"/>
      <c r="B4" s="200"/>
      <c r="C4" s="198"/>
      <c r="D4" s="198"/>
      <c r="E4" s="198"/>
      <c r="F4" s="198"/>
      <c r="G4" s="198"/>
      <c r="H4" s="127" t="s">
        <v>122</v>
      </c>
      <c r="I4" s="127" t="s">
        <v>10</v>
      </c>
      <c r="J4" s="127" t="s">
        <v>29</v>
      </c>
      <c r="K4" s="127" t="s">
        <v>122</v>
      </c>
      <c r="L4" s="127" t="s">
        <v>30</v>
      </c>
      <c r="M4" s="198"/>
      <c r="N4" s="198"/>
      <c r="O4" s="198"/>
      <c r="P4" s="125" t="s">
        <v>118</v>
      </c>
      <c r="Q4" s="125" t="s">
        <v>121</v>
      </c>
      <c r="R4" s="125" t="s">
        <v>128</v>
      </c>
    </row>
    <row r="5" spans="1:18" ht="18">
      <c r="A5" s="7" t="s">
        <v>21</v>
      </c>
      <c r="B5" s="17"/>
      <c r="C5" s="94">
        <f aca="true" t="shared" si="0" ref="C5:H5">C6+C10+C15+C21+C25+C26</f>
        <v>82076.1</v>
      </c>
      <c r="D5" s="94">
        <f t="shared" si="0"/>
        <v>599.3530000000001</v>
      </c>
      <c r="E5" s="124">
        <f t="shared" si="0"/>
        <v>82675.45300000001</v>
      </c>
      <c r="F5" s="94" t="e">
        <f t="shared" si="0"/>
        <v>#REF!</v>
      </c>
      <c r="G5" s="94">
        <f t="shared" si="0"/>
        <v>70695.3</v>
      </c>
      <c r="H5" s="120">
        <f t="shared" si="0"/>
        <v>74680.29999999999</v>
      </c>
      <c r="I5" s="95">
        <f>IF(E5&gt;0,H5/E5,0)</f>
        <v>0.9032947179618113</v>
      </c>
      <c r="J5" s="95" t="e">
        <f>IF(F5&gt;0,H5/F5,0)</f>
        <v>#REF!</v>
      </c>
      <c r="K5" s="94">
        <f>K6+K10+K15+K21+K25+K26</f>
        <v>60639.59999999999</v>
      </c>
      <c r="L5" s="95">
        <f>IF(K5&gt;0,H5/K5,0)</f>
        <v>1.2315434138747616</v>
      </c>
      <c r="M5" s="94">
        <f>M6+M10+M15+M21+M25+M26</f>
        <v>3985</v>
      </c>
      <c r="N5" s="94">
        <f>N6+N10+N15+N21+N25+N26</f>
        <v>3545.9</v>
      </c>
      <c r="O5" s="95">
        <f>IF(N5&gt;0,M5/N5,0)</f>
        <v>1.1238331594235595</v>
      </c>
      <c r="P5" s="120">
        <f>P6+P10+P15+P21+P25+P26</f>
        <v>672.8000000000001</v>
      </c>
      <c r="Q5" s="94">
        <f>Q6+Q10+Q15+Q21+Q25+Q26</f>
        <v>673.2</v>
      </c>
      <c r="R5" s="94">
        <f>R6+R10+R15+R21+R25+R26</f>
        <v>434.59999999999997</v>
      </c>
    </row>
    <row r="6" spans="1:19" ht="18">
      <c r="A6" s="9" t="s">
        <v>63</v>
      </c>
      <c r="B6" s="18">
        <v>1010200001</v>
      </c>
      <c r="C6" s="96">
        <f>C7+C8+C9</f>
        <v>23846.000000000004</v>
      </c>
      <c r="D6" s="153">
        <f>D7+D8+D9</f>
        <v>0</v>
      </c>
      <c r="E6" s="153">
        <f>E7+E8+E9</f>
        <v>23846.000000000004</v>
      </c>
      <c r="F6" s="96" t="e">
        <f>F7+F8+F9+#REF!</f>
        <v>#REF!</v>
      </c>
      <c r="G6" s="96">
        <f>G7+G8+G9</f>
        <v>15509.400000000001</v>
      </c>
      <c r="H6" s="96">
        <f>H7+H8+H9</f>
        <v>17510.800000000003</v>
      </c>
      <c r="I6" s="97">
        <f aca="true" t="shared" si="1" ref="I6:I52">IF(E6&gt;0,H6/E6,0)</f>
        <v>0.7343286085716683</v>
      </c>
      <c r="J6" s="97" t="e">
        <f aca="true" t="shared" si="2" ref="J6:J52">IF(F6&gt;0,H6/F6,0)</f>
        <v>#REF!</v>
      </c>
      <c r="K6" s="96">
        <f>K7+K8+K9</f>
        <v>16426.499999999996</v>
      </c>
      <c r="L6" s="97">
        <f aca="true" t="shared" si="3" ref="L6:L52">IF(K6&gt;0,H6/K6,0)</f>
        <v>1.0660091924633979</v>
      </c>
      <c r="M6" s="96">
        <f>M7+M8+M9</f>
        <v>2001.4</v>
      </c>
      <c r="N6" s="96">
        <f>N7+N8+N9</f>
        <v>1784.0000000000002</v>
      </c>
      <c r="O6" s="97">
        <f aca="true" t="shared" si="4" ref="O6:O52">IF(N6&gt;0,M6/N6,0)</f>
        <v>1.1218609865470852</v>
      </c>
      <c r="P6" s="96">
        <f>P7+P8+P9</f>
        <v>38.7</v>
      </c>
      <c r="Q6" s="96">
        <f>Q7+Q8+Q9</f>
        <v>106.00000000000001</v>
      </c>
      <c r="R6" s="170">
        <f>R7+R8+R9</f>
        <v>61</v>
      </c>
      <c r="S6" s="171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23729.000000000004</v>
      </c>
      <c r="D7" s="118">
        <f>муниц!D6+'Лен '!D7+Высокор!D7+Гост!D7+Новотр!D7+Черн!D7</f>
        <v>0</v>
      </c>
      <c r="E7" s="102">
        <f>C7+D7</f>
        <v>23729.000000000004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15120.800000000001</v>
      </c>
      <c r="H7" s="100">
        <f>G7+M7</f>
        <v>17120.300000000003</v>
      </c>
      <c r="I7" s="101">
        <f t="shared" si="1"/>
        <v>0.7214926882717351</v>
      </c>
      <c r="J7" s="101">
        <f t="shared" si="2"/>
        <v>1.742577381497654</v>
      </c>
      <c r="K7" s="98">
        <f>муниц!K6+'Лен '!K7+Высокор!K7+Гост!K7+Новотр!K7+Черн!K7</f>
        <v>16298.299999999997</v>
      </c>
      <c r="L7" s="101">
        <f t="shared" si="3"/>
        <v>1.0504347079143226</v>
      </c>
      <c r="M7" s="98">
        <f>муниц!M6+'Лен '!M7+Высокор!M7+Гост!M7+Новотр!M7+Черн!M7</f>
        <v>1999.5</v>
      </c>
      <c r="N7" s="98">
        <f>муниц!N6+'Лен '!N7+Высокор!N7+Гост!N7+Новотр!N7+Черн!N7</f>
        <v>1771.7</v>
      </c>
      <c r="O7" s="101">
        <f t="shared" si="4"/>
        <v>1.128577072867867</v>
      </c>
      <c r="P7" s="98">
        <f>муниц!P6+'Лен '!P7+Высокор!P7+Гост!P7+Новотр!P7+Черн!P7</f>
        <v>30.5</v>
      </c>
      <c r="Q7" s="98">
        <f>муниц!Q6+'Лен '!Q7+Высокор!Q7+Гост!Q7+Новотр!Q7+Черн!Q7</f>
        <v>88.10000000000001</v>
      </c>
      <c r="R7" s="98">
        <f>муниц!R6+'Лен '!R7+Высокор!R7+Гост!R7+Новотр!R7+Черн!R7</f>
        <v>43.7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0</v>
      </c>
      <c r="E8" s="102">
        <f>C8+D8</f>
        <v>54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110.69999999999999</v>
      </c>
      <c r="H8" s="100">
        <f>G8+M8</f>
        <v>110.69999999999999</v>
      </c>
      <c r="I8" s="101">
        <f t="shared" si="1"/>
        <v>2.05</v>
      </c>
      <c r="J8" s="101">
        <f t="shared" si="2"/>
        <v>4.2413793103448265</v>
      </c>
      <c r="K8" s="98">
        <f>муниц!K7+'Лен '!K8+Высокор!K8+Гост!K8+Новотр!K8+Черн!K8</f>
        <v>46.3</v>
      </c>
      <c r="L8" s="101">
        <f t="shared" si="3"/>
        <v>2.3909287257019436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-0.1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63</v>
      </c>
      <c r="D9" s="98">
        <f>муниц!D8+'Лен '!D9+Высокор!D9+Гост!D9+Новотр!D9+Черн!D9</f>
        <v>0</v>
      </c>
      <c r="E9" s="99">
        <f>C9+D9</f>
        <v>63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277.9</v>
      </c>
      <c r="H9" s="100">
        <f>G9+M9</f>
        <v>279.79999999999995</v>
      </c>
      <c r="I9" s="101">
        <f t="shared" si="1"/>
        <v>4.441269841269841</v>
      </c>
      <c r="J9" s="101">
        <f t="shared" si="2"/>
        <v>5.953191489361701</v>
      </c>
      <c r="K9" s="98">
        <f>муниц!K8+'Лен '!K9+Высокор!K9+Гост!K9+Новотр!K9+Черн!K9</f>
        <v>81.89999999999999</v>
      </c>
      <c r="L9" s="101">
        <f t="shared" si="3"/>
        <v>3.416361416361416</v>
      </c>
      <c r="M9" s="98">
        <f>муниц!M8+'Лен '!M9+Высокор!M9+Гост!M9+Новотр!M9+Черн!M9</f>
        <v>1.9</v>
      </c>
      <c r="N9" s="98">
        <f>муниц!N8+'Лен '!N9+Высокор!N9+Гост!N9+Новотр!N9+Черн!N9</f>
        <v>12.4</v>
      </c>
      <c r="O9" s="101">
        <f t="shared" si="4"/>
        <v>0.15322580645161288</v>
      </c>
      <c r="P9" s="98">
        <f>муниц!P8+'Лен '!P9+Высокор!P9+Гост!P9+Новотр!P9+Черн!P9</f>
        <v>8.2</v>
      </c>
      <c r="Q9" s="98">
        <f>муниц!Q8+'Лен '!Q9+Высокор!Q9+Гост!Q9+Новотр!Q9+Черн!Q9</f>
        <v>17.900000000000002</v>
      </c>
      <c r="R9" s="98">
        <f>муниц!R8+'Лен '!R9+Высокор!R9+Гост!R9+Новотр!R9+Черн!R9</f>
        <v>17.3</v>
      </c>
      <c r="S9" s="26"/>
    </row>
    <row r="10" spans="1:19" ht="18" customHeight="1">
      <c r="A10" s="11" t="s">
        <v>48</v>
      </c>
      <c r="B10" s="19">
        <v>1030200001</v>
      </c>
      <c r="C10" s="103">
        <f aca="true" t="shared" si="5" ref="C10:H10">SUM(C11:C14)</f>
        <v>12773.099999999999</v>
      </c>
      <c r="D10" s="103">
        <f t="shared" si="5"/>
        <v>0</v>
      </c>
      <c r="E10" s="103">
        <f t="shared" si="5"/>
        <v>12773.099999999999</v>
      </c>
      <c r="F10" s="103">
        <f t="shared" si="5"/>
        <v>0</v>
      </c>
      <c r="G10" s="103">
        <f t="shared" si="5"/>
        <v>9549.1</v>
      </c>
      <c r="H10" s="103">
        <f t="shared" si="5"/>
        <v>10988</v>
      </c>
      <c r="I10" s="97">
        <f t="shared" si="1"/>
        <v>0.8602453593880891</v>
      </c>
      <c r="J10" s="97">
        <f t="shared" si="2"/>
        <v>0</v>
      </c>
      <c r="K10" s="103">
        <f>SUM(K11:K14)</f>
        <v>8989</v>
      </c>
      <c r="L10" s="97">
        <f t="shared" si="3"/>
        <v>1.2223829124485481</v>
      </c>
      <c r="M10" s="103">
        <f>SUM(M11:M14)</f>
        <v>1438.9</v>
      </c>
      <c r="N10" s="103">
        <f>SUM(N11:N14)</f>
        <v>1177.8</v>
      </c>
      <c r="O10" s="97">
        <f t="shared" si="4"/>
        <v>1.2216844965189337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5775.2</v>
      </c>
      <c r="D11" s="98">
        <f>муниц!D10+'Лен '!D11+Высокор!D11+Гост!D11+Новотр!D11+Черн!D11</f>
        <v>0</v>
      </c>
      <c r="E11" s="99">
        <f>C11+D11</f>
        <v>5775.2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4686.099999999999</v>
      </c>
      <c r="H11" s="100">
        <f>G11+M11</f>
        <v>5372.4</v>
      </c>
      <c r="I11" s="101">
        <f t="shared" si="1"/>
        <v>0.9302534977143648</v>
      </c>
      <c r="J11" s="101">
        <f t="shared" si="2"/>
        <v>0</v>
      </c>
      <c r="K11" s="98">
        <f>муниц!K10+'Лен '!K11+Высокор!K11+Гост!K11+Новотр!K11+Черн!K11</f>
        <v>4077.1000000000004</v>
      </c>
      <c r="L11" s="101">
        <f t="shared" si="3"/>
        <v>1.3177013073017585</v>
      </c>
      <c r="M11" s="98">
        <f>муниц!M10+'Лен '!M11+Высокор!M11+Гост!M11+Новотр!M11+Черн!M11</f>
        <v>686.3000000000001</v>
      </c>
      <c r="N11" s="98">
        <f>муниц!N10+'Лен '!N11+Высокор!N11+Гост!N11+Новотр!N11+Черн!N11</f>
        <v>546.9</v>
      </c>
      <c r="O11" s="101">
        <f t="shared" si="4"/>
        <v>1.254891204973487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31.900000000000002</v>
      </c>
      <c r="D12" s="98">
        <f>муниц!D11+'Лен '!D12+Высокор!D12+Гост!D12+Новотр!D12+Черн!D12</f>
        <v>0</v>
      </c>
      <c r="E12" s="99">
        <f>C12+D12</f>
        <v>31.900000000000002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27.2</v>
      </c>
      <c r="H12" s="100">
        <f>G12+M12</f>
        <v>30.4</v>
      </c>
      <c r="I12" s="101">
        <f t="shared" si="1"/>
        <v>0.9529780564263322</v>
      </c>
      <c r="J12" s="101">
        <f t="shared" si="2"/>
        <v>0</v>
      </c>
      <c r="K12" s="98">
        <f>муниц!K11+'Лен '!K12+Высокор!K12+Гост!K12+Новотр!K12+Черн!K12</f>
        <v>29.199999999999996</v>
      </c>
      <c r="L12" s="101">
        <f t="shared" si="3"/>
        <v>1.041095890410959</v>
      </c>
      <c r="M12" s="98">
        <f>муниц!M11+'Лен '!M12+Высокор!M12+Гост!M12+Новотр!M12+Черн!M12</f>
        <v>3.2000000000000006</v>
      </c>
      <c r="N12" s="98">
        <f>муниц!N11+'Лен '!N12+Высокор!N12+Гост!N12+Новотр!N12+Черн!N12</f>
        <v>2.8000000000000003</v>
      </c>
      <c r="O12" s="101">
        <f t="shared" si="4"/>
        <v>1.142857142857143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7690.200000000001</v>
      </c>
      <c r="D13" s="98">
        <f>муниц!D12+'Лен '!D13+Высокор!D13+Гост!D13+Новотр!D13+Черн!D13</f>
        <v>0</v>
      </c>
      <c r="E13" s="99">
        <f>C13+D13</f>
        <v>7690.200000000001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5381.2</v>
      </c>
      <c r="H13" s="100">
        <f>G13+M13</f>
        <v>6184.7</v>
      </c>
      <c r="I13" s="101">
        <f t="shared" si="1"/>
        <v>0.8042313593924735</v>
      </c>
      <c r="J13" s="101">
        <f t="shared" si="2"/>
        <v>0</v>
      </c>
      <c r="K13" s="98">
        <f>муниц!K12+'Лен '!K13+Высокор!K13+Гост!K13+Новотр!K13+Черн!K13</f>
        <v>5602.400000000001</v>
      </c>
      <c r="L13" s="101">
        <f t="shared" si="3"/>
        <v>1.1039375981722117</v>
      </c>
      <c r="M13" s="98">
        <f>муниц!M12+'Лен '!M13+Высокор!M13+Гост!M13+Новотр!M13+Черн!M13</f>
        <v>803.5</v>
      </c>
      <c r="N13" s="98">
        <f>муниц!N12+'Лен '!N13+Высокор!N13+Гост!N13+Новотр!N13+Черн!N13</f>
        <v>702.9000000000001</v>
      </c>
      <c r="O13" s="101">
        <f t="shared" si="4"/>
        <v>1.1431213543889598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-724.1999999999999</v>
      </c>
      <c r="D14" s="98">
        <f>муниц!D13+'Лен '!D14+Высокор!D14+Гост!D14+Новотр!D14+Черн!D14</f>
        <v>0</v>
      </c>
      <c r="E14" s="99">
        <f>C14+D14</f>
        <v>-724.1999999999999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-545.4</v>
      </c>
      <c r="H14" s="100">
        <f>G14+M14</f>
        <v>-599.5</v>
      </c>
      <c r="I14" s="101">
        <f>H14/E14</f>
        <v>0.827809997238332</v>
      </c>
      <c r="J14" s="101">
        <f t="shared" si="2"/>
        <v>0</v>
      </c>
      <c r="K14" s="98">
        <f>муниц!K13+'Лен '!K14+Высокор!K14+Гост!K14+Новотр!K14+Черн!K14</f>
        <v>-719.6999999999999</v>
      </c>
      <c r="L14" s="101">
        <f t="shared" si="3"/>
        <v>0</v>
      </c>
      <c r="M14" s="98">
        <f>муниц!M13+'Лен '!M14+Высокор!M14+Гост!M14+Новотр!M14+Черн!M14</f>
        <v>-54.10000000000001</v>
      </c>
      <c r="N14" s="98">
        <f>муниц!N13+'Лен '!N14+Высокор!N14+Гост!N14+Новотр!N14+Черн!N14</f>
        <v>-74.8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35760</v>
      </c>
      <c r="D15" s="96">
        <f t="shared" si="6"/>
        <v>599.3530000000001</v>
      </c>
      <c r="E15" s="96">
        <f t="shared" si="6"/>
        <v>36359.353</v>
      </c>
      <c r="F15" s="96">
        <f t="shared" si="6"/>
        <v>11352.9</v>
      </c>
      <c r="G15" s="96">
        <f t="shared" si="6"/>
        <v>36187.6</v>
      </c>
      <c r="H15" s="96">
        <f t="shared" si="6"/>
        <v>37122.1</v>
      </c>
      <c r="I15" s="97">
        <f t="shared" si="1"/>
        <v>1.0209780135526614</v>
      </c>
      <c r="J15" s="97">
        <f t="shared" si="2"/>
        <v>3.269834139294806</v>
      </c>
      <c r="K15" s="96">
        <f>K16+K17+K18+K19+K20</f>
        <v>29117.6</v>
      </c>
      <c r="L15" s="97">
        <f t="shared" si="3"/>
        <v>1.2749024644888316</v>
      </c>
      <c r="M15" s="96">
        <f>M16+M17+M18+M19+M20</f>
        <v>934.5000000000001</v>
      </c>
      <c r="N15" s="96">
        <f>N16+N17+N18+N19+N20</f>
        <v>421.09999999999997</v>
      </c>
      <c r="O15" s="97">
        <f t="shared" si="4"/>
        <v>2.2191878413678467</v>
      </c>
      <c r="P15" s="96">
        <f>P16+P17+P18+P19+P20</f>
        <v>150.4</v>
      </c>
      <c r="Q15" s="96">
        <f>Q16+Q17+Q18+Q19+Q20</f>
        <v>246.9</v>
      </c>
      <c r="R15" s="96">
        <f>R16+R17+R18+R19+R20</f>
        <v>76.8</v>
      </c>
      <c r="S15" s="26"/>
    </row>
    <row r="16" spans="1:19" ht="18">
      <c r="A16" s="10" t="s">
        <v>53</v>
      </c>
      <c r="B16" s="28">
        <v>1050101001</v>
      </c>
      <c r="C16" s="98">
        <f>муниц!C15</f>
        <v>28100</v>
      </c>
      <c r="D16" s="98">
        <f>муниц!D15</f>
        <v>0</v>
      </c>
      <c r="E16" s="102">
        <f>C16+D16</f>
        <v>28100</v>
      </c>
      <c r="F16" s="98">
        <f>муниц!F15</f>
        <v>7051</v>
      </c>
      <c r="G16" s="98">
        <f>муниц!G15</f>
        <v>28001.7</v>
      </c>
      <c r="H16" s="100">
        <f>G16+M16</f>
        <v>28681.3</v>
      </c>
      <c r="I16" s="101">
        <f t="shared" si="1"/>
        <v>1.0206868327402134</v>
      </c>
      <c r="J16" s="101">
        <f t="shared" si="2"/>
        <v>4.067692525882854</v>
      </c>
      <c r="K16" s="98">
        <f>муниц!K15</f>
        <v>21869.1</v>
      </c>
      <c r="L16" s="101">
        <f t="shared" si="3"/>
        <v>1.3114988728388457</v>
      </c>
      <c r="M16" s="98">
        <f>муниц!M15</f>
        <v>679.6</v>
      </c>
      <c r="N16" s="98">
        <f>муниц!N15</f>
        <v>246.4</v>
      </c>
      <c r="O16" s="101">
        <f t="shared" si="4"/>
        <v>2.758116883116883</v>
      </c>
      <c r="P16" s="98">
        <f>муниц!P15</f>
        <v>146</v>
      </c>
      <c r="Q16" s="98">
        <f>муниц!Q15</f>
        <v>246.4</v>
      </c>
      <c r="R16" s="98">
        <f>муниц!R15</f>
        <v>66.6</v>
      </c>
      <c r="S16" s="26"/>
    </row>
    <row r="17" spans="1:19" ht="18">
      <c r="A17" s="10" t="s">
        <v>54</v>
      </c>
      <c r="B17" s="28">
        <v>1050102001</v>
      </c>
      <c r="C17" s="98">
        <f>муниц!C16</f>
        <v>6000</v>
      </c>
      <c r="D17" s="98">
        <f>муниц!D16</f>
        <v>0</v>
      </c>
      <c r="E17" s="102">
        <f>C17+D17</f>
        <v>6000</v>
      </c>
      <c r="F17" s="98">
        <f>муниц!F16</f>
        <v>1509</v>
      </c>
      <c r="G17" s="98">
        <f>муниц!G16</f>
        <v>6327.3</v>
      </c>
      <c r="H17" s="100">
        <f>G17+M17</f>
        <v>6556.6</v>
      </c>
      <c r="I17" s="101">
        <f t="shared" si="1"/>
        <v>1.0927666666666667</v>
      </c>
      <c r="J17" s="101">
        <f t="shared" si="2"/>
        <v>4.344996686547383</v>
      </c>
      <c r="K17" s="98">
        <f>муниц!K16</f>
        <v>4535.9</v>
      </c>
      <c r="L17" s="101">
        <f t="shared" si="3"/>
        <v>1.4454904208646577</v>
      </c>
      <c r="M17" s="98">
        <f>муниц!M16</f>
        <v>229.3</v>
      </c>
      <c r="N17" s="98">
        <f>муниц!N16</f>
        <v>110.5</v>
      </c>
      <c r="O17" s="101">
        <f t="shared" si="4"/>
        <v>2.075113122171946</v>
      </c>
      <c r="P17" s="98">
        <f>муниц!P16</f>
        <v>2.3</v>
      </c>
      <c r="Q17" s="98">
        <f>муниц!Q16</f>
        <v>0.2</v>
      </c>
      <c r="R17" s="98">
        <f>муниц!R16</f>
        <v>0.2</v>
      </c>
      <c r="S17" s="26"/>
    </row>
    <row r="18" spans="1:19" ht="18">
      <c r="A18" s="13" t="s">
        <v>0</v>
      </c>
      <c r="B18" s="28">
        <v>1050200001</v>
      </c>
      <c r="C18" s="98">
        <f>муниц!C17</f>
        <v>0</v>
      </c>
      <c r="D18" s="98">
        <f>муниц!D17</f>
        <v>0</v>
      </c>
      <c r="E18" s="102">
        <f>C18+D18</f>
        <v>0</v>
      </c>
      <c r="F18" s="98">
        <f>муниц!F17</f>
        <v>2641</v>
      </c>
      <c r="G18" s="98">
        <f>муниц!G17</f>
        <v>-13.2</v>
      </c>
      <c r="H18" s="100">
        <f>G18+M18</f>
        <v>-13</v>
      </c>
      <c r="I18" s="101">
        <f t="shared" si="1"/>
        <v>0</v>
      </c>
      <c r="J18" s="101">
        <f t="shared" si="2"/>
        <v>-0.004922377887163953</v>
      </c>
      <c r="K18" s="98">
        <f>муниц!K17</f>
        <v>1337.2</v>
      </c>
      <c r="L18" s="101">
        <f t="shared" si="3"/>
        <v>-0.009721806760394854</v>
      </c>
      <c r="M18" s="98">
        <f>муниц!M17</f>
        <v>0.2</v>
      </c>
      <c r="N18" s="98">
        <f>муниц!N17</f>
        <v>16.2</v>
      </c>
      <c r="O18" s="101">
        <f t="shared" si="4"/>
        <v>0.01234567901234568</v>
      </c>
      <c r="P18" s="98">
        <f>муниц!P17</f>
        <v>2.1</v>
      </c>
      <c r="Q18" s="98">
        <f>муниц!Q17</f>
        <v>0</v>
      </c>
      <c r="R18" s="98">
        <f>муниц!R17</f>
        <v>0</v>
      </c>
      <c r="S18" s="26"/>
    </row>
    <row r="19" spans="1:19" ht="18">
      <c r="A19" s="13" t="s">
        <v>7</v>
      </c>
      <c r="B19" s="28">
        <v>1050300001</v>
      </c>
      <c r="C19" s="98">
        <f>муниц!C18+'Лен '!C16+Высокор!C16+Гост!C16+Новотр!C16+Черн!C16</f>
        <v>420</v>
      </c>
      <c r="D19" s="98">
        <f>муниц!D18+'Лен '!D16+Высокор!D16+Гост!D16+Новотр!D16+Черн!D16</f>
        <v>599.3530000000001</v>
      </c>
      <c r="E19" s="119">
        <f>C19+D19</f>
        <v>1019.3530000000001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989.2</v>
      </c>
      <c r="H19" s="100">
        <f>G19+M19</f>
        <v>989.2</v>
      </c>
      <c r="I19" s="101">
        <f t="shared" si="1"/>
        <v>0.9704194719591741</v>
      </c>
      <c r="J19" s="101">
        <f t="shared" si="2"/>
        <v>15.701587301587303</v>
      </c>
      <c r="K19" s="98">
        <f>муниц!K18+'Лен '!K16+Высокор!K16+Гост!K16+Новотр!K16+Черн!K16</f>
        <v>370.09999999999997</v>
      </c>
      <c r="L19" s="101">
        <f t="shared" si="3"/>
        <v>2.6727911375303974</v>
      </c>
      <c r="M19" s="98">
        <f>муниц!M18+'Лен '!M16+Высокор!M16+Гост!M16+Новотр!M16+Черн!M16</f>
        <v>0</v>
      </c>
      <c r="N19" s="98">
        <f>муниц!N18+'Лен '!N16+Высокор!N16+Гост!N16+Новотр!N16+Черн!N16</f>
        <v>0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0</v>
      </c>
      <c r="R19" s="98">
        <f>муниц!R18+'Лен '!R16+Высокор!R16+Гост!R16+Новотр!R16+Черн!R16</f>
        <v>0</v>
      </c>
      <c r="S19" s="26"/>
    </row>
    <row r="20" spans="1:19" ht="18">
      <c r="A20" s="10" t="s">
        <v>96</v>
      </c>
      <c r="B20" s="28">
        <v>1050402002</v>
      </c>
      <c r="C20" s="98">
        <f>муниц!C19</f>
        <v>1240</v>
      </c>
      <c r="D20" s="98">
        <f>муниц!D19</f>
        <v>0</v>
      </c>
      <c r="E20" s="102">
        <f>C20+D20</f>
        <v>1240</v>
      </c>
      <c r="F20" s="98">
        <f>муниц!F19</f>
        <v>88.9</v>
      </c>
      <c r="G20" s="98">
        <f>муниц!G19</f>
        <v>882.6</v>
      </c>
      <c r="H20" s="100">
        <f>G20+M20</f>
        <v>908</v>
      </c>
      <c r="I20" s="101">
        <f t="shared" si="1"/>
        <v>0.7322580645161291</v>
      </c>
      <c r="J20" s="101">
        <f t="shared" si="2"/>
        <v>10.213723284589426</v>
      </c>
      <c r="K20" s="98">
        <f>муниц!K19</f>
        <v>1005.3</v>
      </c>
      <c r="L20" s="101">
        <f t="shared" si="3"/>
        <v>0.9032129712523626</v>
      </c>
      <c r="M20" s="98">
        <f>муниц!M19</f>
        <v>25.4</v>
      </c>
      <c r="N20" s="98">
        <f>муниц!N19</f>
        <v>48</v>
      </c>
      <c r="O20" s="101">
        <f t="shared" si="4"/>
        <v>0.5291666666666667</v>
      </c>
      <c r="P20" s="98">
        <f>муниц!P19</f>
        <v>0</v>
      </c>
      <c r="Q20" s="98">
        <f>муниц!Q19</f>
        <v>0.3</v>
      </c>
      <c r="R20" s="98">
        <f>муниц!R19</f>
        <v>10</v>
      </c>
      <c r="S20" s="26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8973</v>
      </c>
      <c r="D21" s="104">
        <f t="shared" si="7"/>
        <v>0</v>
      </c>
      <c r="E21" s="104">
        <f t="shared" si="7"/>
        <v>8973</v>
      </c>
      <c r="F21" s="104">
        <f t="shared" si="7"/>
        <v>1983</v>
      </c>
      <c r="G21" s="104">
        <f t="shared" si="7"/>
        <v>7042</v>
      </c>
      <c r="H21" s="104">
        <f t="shared" si="7"/>
        <v>6518.700000000001</v>
      </c>
      <c r="I21" s="97">
        <f t="shared" si="1"/>
        <v>0.7264794383149449</v>
      </c>
      <c r="J21" s="97">
        <f t="shared" si="2"/>
        <v>3.287291981845689</v>
      </c>
      <c r="K21" s="104">
        <f>K22+K23+K24</f>
        <v>5596.2</v>
      </c>
      <c r="L21" s="97">
        <f t="shared" si="3"/>
        <v>1.1648440012865875</v>
      </c>
      <c r="M21" s="104">
        <f>M22+M23+M24</f>
        <v>-523.3000000000001</v>
      </c>
      <c r="N21" s="104">
        <f>N22+N23+N24</f>
        <v>66.6</v>
      </c>
      <c r="O21" s="97">
        <f t="shared" si="4"/>
        <v>-7.857357357357359</v>
      </c>
      <c r="P21" s="96">
        <f>P22+P23+P24</f>
        <v>483.70000000000005</v>
      </c>
      <c r="Q21" s="104">
        <f>Q22+Q23+Q24</f>
        <v>320.3</v>
      </c>
      <c r="R21" s="104">
        <f>R22+R23+R24</f>
        <v>296.79999999999995</v>
      </c>
      <c r="S21" s="26"/>
    </row>
    <row r="22" spans="1:19" ht="18">
      <c r="A22" s="13" t="s">
        <v>16</v>
      </c>
      <c r="B22" s="13">
        <v>1060103003</v>
      </c>
      <c r="C22" s="98">
        <f>'Лен '!C21+Высокор!C21+Гост!C21+Новотр!C21+Черн!C21</f>
        <v>893</v>
      </c>
      <c r="D22" s="98">
        <f>'Лен '!D21+Высокор!D21+Гост!D21+Новотр!D21+Черн!D21</f>
        <v>0</v>
      </c>
      <c r="E22" s="102">
        <f>C22+D22</f>
        <v>893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55.8</v>
      </c>
      <c r="H22" s="100">
        <f>G22+M22</f>
        <v>99.8</v>
      </c>
      <c r="I22" s="101">
        <f>IF(E22&gt;0,H22/E22,0)</f>
        <v>0.11175811870100784</v>
      </c>
      <c r="J22" s="101">
        <f>IF(F22&gt;0,H22/F22,0)</f>
        <v>0</v>
      </c>
      <c r="K22" s="100">
        <f>'Лен '!K21+Высокор!K21+Гост!K21+Новотр!K21+Черн!K21</f>
        <v>203.70000000000002</v>
      </c>
      <c r="L22" s="101">
        <f>IF(K22&gt;0,H22/K22,0)</f>
        <v>0.48993618065783007</v>
      </c>
      <c r="M22" s="100">
        <f>'Лен '!M21+Высокор!M21+Гост!M21+Новотр!M21+Черн!M21</f>
        <v>44</v>
      </c>
      <c r="N22" s="100">
        <f>'Лен '!N21+Высокор!N21+Гост!N21+Новотр!N21+Черн!N21</f>
        <v>-2.6999999999999997</v>
      </c>
      <c r="O22" s="101">
        <f>IF(N22&gt;0,M22/N22,0)</f>
        <v>0</v>
      </c>
      <c r="P22" s="100">
        <f>'Лен '!P21+Высокор!P21+Гост!P21+Новотр!P21+Черн!P21</f>
        <v>272.3</v>
      </c>
      <c r="Q22" s="100">
        <f>'Лен '!Q21+Высокор!Q21+Гост!Q21+Новотр!Q21+Черн!Q21</f>
        <v>162.9</v>
      </c>
      <c r="R22" s="100">
        <f>'Лен '!R21+Высокор!R21+Гост!R21+Новотр!R21+Черн!R21</f>
        <v>145.49999999999997</v>
      </c>
      <c r="S22" s="26"/>
    </row>
    <row r="23" spans="1:19" ht="18">
      <c r="A23" s="13" t="s">
        <v>19</v>
      </c>
      <c r="B23" s="13">
        <v>1060201002</v>
      </c>
      <c r="C23" s="98">
        <f>муниц!C20</f>
        <v>6350</v>
      </c>
      <c r="D23" s="98">
        <f>муниц!D20</f>
        <v>0</v>
      </c>
      <c r="E23" s="102">
        <f>C23+D23</f>
        <v>6350</v>
      </c>
      <c r="F23" s="98">
        <f>муниц!F20</f>
        <v>1983</v>
      </c>
      <c r="G23" s="98">
        <f>муниц!G20</f>
        <v>5876</v>
      </c>
      <c r="H23" s="100">
        <f>G23+M23</f>
        <v>5265.3</v>
      </c>
      <c r="I23" s="101">
        <f t="shared" si="1"/>
        <v>0.8291811023622048</v>
      </c>
      <c r="J23" s="101">
        <f t="shared" si="2"/>
        <v>2.6552193645990925</v>
      </c>
      <c r="K23" s="98">
        <f>муниц!K20</f>
        <v>4719.7</v>
      </c>
      <c r="L23" s="101">
        <f t="shared" si="3"/>
        <v>1.1156005678327012</v>
      </c>
      <c r="M23" s="98">
        <f>муниц!M20</f>
        <v>-610.7</v>
      </c>
      <c r="N23" s="98">
        <f>муниц!N20</f>
        <v>0.2</v>
      </c>
      <c r="O23" s="101">
        <f t="shared" si="4"/>
        <v>-3053.5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</row>
    <row r="24" spans="1:19" ht="18">
      <c r="A24" s="13" t="s">
        <v>15</v>
      </c>
      <c r="B24" s="13">
        <v>1060600000</v>
      </c>
      <c r="C24" s="98">
        <f>'Лен '!C18+Высокор!C18+Гост!C18+Новотр!C18+Черн!C18</f>
        <v>1730</v>
      </c>
      <c r="D24" s="98">
        <f>'Лен '!D18+Высокор!D18+Гост!D18+Новотр!D18+Черн!D18</f>
        <v>0</v>
      </c>
      <c r="E24" s="99">
        <f>C24+D24</f>
        <v>1730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1110.1999999999998</v>
      </c>
      <c r="H24" s="100">
        <f>G24+M24</f>
        <v>1153.6</v>
      </c>
      <c r="I24" s="101">
        <f t="shared" si="1"/>
        <v>0.6668208092485549</v>
      </c>
      <c r="J24" s="101">
        <f t="shared" si="2"/>
        <v>0</v>
      </c>
      <c r="K24" s="100">
        <f>'Лен '!K18+Высокор!K18+Гост!K18+Новотр!K18+Черн!K18</f>
        <v>672.8000000000001</v>
      </c>
      <c r="L24" s="101">
        <f t="shared" si="3"/>
        <v>1.7146254458977406</v>
      </c>
      <c r="M24" s="100">
        <f>'Лен '!M18+Высокор!M18+Гост!M18+Новотр!M18+Черн!M18</f>
        <v>43.400000000000006</v>
      </c>
      <c r="N24" s="100">
        <f>'Лен '!N18+Высокор!N18+Гост!N18+Новотр!N18+Черн!N18</f>
        <v>69.1</v>
      </c>
      <c r="O24" s="101">
        <f t="shared" si="4"/>
        <v>0.6280752532561507</v>
      </c>
      <c r="P24" s="100">
        <f>'Лен '!P18+Высокор!P18+Гост!P18+Новотр!P18+Черн!P18</f>
        <v>211.4</v>
      </c>
      <c r="Q24" s="100">
        <f>'Лен '!Q18+Высокор!Q18+Гост!Q18+Новотр!Q18+Черн!Q18</f>
        <v>157.4</v>
      </c>
      <c r="R24" s="100">
        <f>'Лен '!R18+Высокор!R18+Гост!R18+Новотр!R18+Черн!R18</f>
        <v>151.3</v>
      </c>
      <c r="S24" s="26"/>
    </row>
    <row r="25" spans="1:19" ht="18">
      <c r="A25" s="9" t="s">
        <v>83</v>
      </c>
      <c r="B25" s="18">
        <v>1080000000</v>
      </c>
      <c r="C25" s="103">
        <f>муниц!C21+Высокор!C22+Гост!C22+Новотр!C22+Черн!C22</f>
        <v>724</v>
      </c>
      <c r="D25" s="103">
        <f>муниц!D21+Высокор!D22+Гост!D22+Новотр!D22+Черн!D22</f>
        <v>0</v>
      </c>
      <c r="E25" s="105">
        <f>C25+D25</f>
        <v>724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2407.2</v>
      </c>
      <c r="H25" s="96">
        <f>G25+M25</f>
        <v>2540.7</v>
      </c>
      <c r="I25" s="97">
        <f t="shared" si="1"/>
        <v>3.5092541436464084</v>
      </c>
      <c r="J25" s="97">
        <f t="shared" si="2"/>
        <v>8.791349480968858</v>
      </c>
      <c r="K25" s="103">
        <f>муниц!K21+Высокор!K22+Гост!K22+Новотр!K22+Черн!K22</f>
        <v>510.3</v>
      </c>
      <c r="L25" s="97">
        <f t="shared" si="3"/>
        <v>4.978835978835979</v>
      </c>
      <c r="M25" s="103">
        <f>муниц!M21+Высокор!M22+Гост!M22+Новотр!M22+Черн!M22</f>
        <v>133.5</v>
      </c>
      <c r="N25" s="103">
        <f>муниц!N21+Высокор!N22+Гост!N22+Новотр!N22+Черн!N22</f>
        <v>96.39999999999999</v>
      </c>
      <c r="O25" s="97">
        <f t="shared" si="4"/>
        <v>1.3848547717842326</v>
      </c>
      <c r="P25" s="106"/>
      <c r="Q25" s="106"/>
      <c r="R25" s="106"/>
      <c r="S25" s="26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49179.145</v>
      </c>
      <c r="D27" s="108">
        <f t="shared" si="8"/>
        <v>11926.734000000002</v>
      </c>
      <c r="E27" s="108">
        <f t="shared" si="8"/>
        <v>61105.879</v>
      </c>
      <c r="F27" s="108">
        <f t="shared" si="8"/>
        <v>7948.7</v>
      </c>
      <c r="G27" s="108">
        <f t="shared" si="8"/>
        <v>11669.6</v>
      </c>
      <c r="H27" s="108">
        <f t="shared" si="8"/>
        <v>15462</v>
      </c>
      <c r="I27" s="95">
        <f t="shared" si="1"/>
        <v>0.2530362094946707</v>
      </c>
      <c r="J27" s="95">
        <f t="shared" si="2"/>
        <v>1.9452237472794294</v>
      </c>
      <c r="K27" s="108">
        <f>K28+K34+K35+K39+K42+K43</f>
        <v>21986.8</v>
      </c>
      <c r="L27" s="95">
        <f t="shared" si="3"/>
        <v>0.7032401258937181</v>
      </c>
      <c r="M27" s="108">
        <f>M28+M34+M35+M39+M42+M43</f>
        <v>3792.4</v>
      </c>
      <c r="N27" s="108">
        <f>N28+N34+N35+N39+N42+N43</f>
        <v>1610.1999999999998</v>
      </c>
      <c r="O27" s="95">
        <f t="shared" si="4"/>
        <v>2.3552353744876418</v>
      </c>
      <c r="P27" s="108">
        <f>P28+P34+P35+P39+P42+P43</f>
        <v>604.1</v>
      </c>
      <c r="Q27" s="108">
        <f>Q28+Q34+Q35+Q39+Q42+Q43</f>
        <v>835.0999999999999</v>
      </c>
      <c r="R27" s="108">
        <f>R28+R34+R35+R39+R42+R43</f>
        <v>716.4000000000001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4123.5</v>
      </c>
      <c r="D28" s="103">
        <f t="shared" si="9"/>
        <v>271.6</v>
      </c>
      <c r="E28" s="103">
        <f t="shared" si="9"/>
        <v>4395.1</v>
      </c>
      <c r="F28" s="103">
        <f t="shared" si="9"/>
        <v>2087.3</v>
      </c>
      <c r="G28" s="103">
        <f t="shared" si="9"/>
        <v>3214.5</v>
      </c>
      <c r="H28" s="103">
        <f t="shared" si="9"/>
        <v>3933.7999999999997</v>
      </c>
      <c r="I28" s="97">
        <f t="shared" si="1"/>
        <v>0.8950422060931491</v>
      </c>
      <c r="J28" s="97">
        <f t="shared" si="2"/>
        <v>1.8846356537153257</v>
      </c>
      <c r="K28" s="103">
        <f>SUM(K29:K33)</f>
        <v>3523.4000000000005</v>
      </c>
      <c r="L28" s="97">
        <f t="shared" si="3"/>
        <v>1.116478401543963</v>
      </c>
      <c r="M28" s="103">
        <f>SUM(M29:M33)</f>
        <v>719.3</v>
      </c>
      <c r="N28" s="103">
        <f>SUM(N29:N33)</f>
        <v>495.1</v>
      </c>
      <c r="O28" s="97">
        <f t="shared" si="4"/>
        <v>1.4528378105433244</v>
      </c>
      <c r="P28" s="103">
        <f>SUM(P29:P33)</f>
        <v>604.1</v>
      </c>
      <c r="Q28" s="103">
        <f>SUM(Q29:Q33)</f>
        <v>835.0999999999999</v>
      </c>
      <c r="R28" s="103">
        <f>SUM(R29:R33)</f>
        <v>716.4000000000001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19" ht="18">
      <c r="A30" s="13" t="s">
        <v>1</v>
      </c>
      <c r="B30" s="13">
        <v>1110501013</v>
      </c>
      <c r="C30" s="98">
        <f>муниц!C26+муниц!C27+'Лен '!C25+'Лен '!C26</f>
        <v>2382</v>
      </c>
      <c r="D30" s="98">
        <f>муниц!D26+муниц!D27+'Лен '!D25+Высокор!D26+Гост!D26+Новотр!D26+Черн!D26+'Лен '!D26</f>
        <v>0</v>
      </c>
      <c r="E30" s="102">
        <f t="shared" si="10"/>
        <v>2382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</f>
        <v>1719.1999999999998</v>
      </c>
      <c r="H30" s="98">
        <f>муниц!H26+муниц!H27+'Лен '!H25+'Лен '!H26</f>
        <v>1998.6999999999998</v>
      </c>
      <c r="I30" s="101">
        <f t="shared" si="1"/>
        <v>0.8390848026868177</v>
      </c>
      <c r="J30" s="101">
        <f t="shared" si="2"/>
        <v>2.2207777777777777</v>
      </c>
      <c r="K30" s="98">
        <f>муниц!K26+муниц!K27+'Лен '!K25+'Лен '!K26</f>
        <v>1516</v>
      </c>
      <c r="L30" s="101">
        <f t="shared" si="3"/>
        <v>1.3184036939313983</v>
      </c>
      <c r="M30" s="98">
        <f>муниц!M26+муниц!M27+'Лен '!M25+'Лен '!M26</f>
        <v>279.5</v>
      </c>
      <c r="N30" s="98">
        <f>муниц!N26+муниц!N27+'Лен '!N25+'Лен '!N26</f>
        <v>226.4</v>
      </c>
      <c r="O30" s="101">
        <f t="shared" si="4"/>
        <v>1.2345406360424027</v>
      </c>
      <c r="P30" s="98">
        <f>муниц!P26+муниц!P27+'Лен '!P25+Высокор!P26+Гост!P26+Новотр!P26+Черн!P26</f>
        <v>443.1</v>
      </c>
      <c r="Q30" s="98">
        <f>муниц!Q26+муниц!Q27+'Лен '!Q25+Высокор!Q26+Гост!Q26+Новотр!Q26+Черн!Q26</f>
        <v>835.0999999999999</v>
      </c>
      <c r="R30" s="98">
        <f>муниц!R26+муниц!R27+'Лен '!R25+Высокор!R26+Гост!R26+Новотр!R26+Черн!R26</f>
        <v>672.7</v>
      </c>
      <c r="S30" s="26"/>
    </row>
    <row r="31" spans="1:19" ht="18">
      <c r="A31" s="13" t="s">
        <v>17</v>
      </c>
      <c r="B31" s="13">
        <v>1110503510</v>
      </c>
      <c r="C31" s="98">
        <f>муниц!C28</f>
        <v>600</v>
      </c>
      <c r="D31" s="98">
        <f>муниц!D28</f>
        <v>0</v>
      </c>
      <c r="E31" s="102">
        <f t="shared" si="10"/>
        <v>600</v>
      </c>
      <c r="F31" s="98">
        <f>муниц!F28</f>
        <v>1187.3</v>
      </c>
      <c r="G31" s="98">
        <f>муниц!G28</f>
        <v>378.8</v>
      </c>
      <c r="H31" s="100">
        <f t="shared" si="11"/>
        <v>426</v>
      </c>
      <c r="I31" s="101">
        <f t="shared" si="1"/>
        <v>0.71</v>
      </c>
      <c r="J31" s="101">
        <f t="shared" si="2"/>
        <v>0.35879727111934645</v>
      </c>
      <c r="K31" s="98">
        <f>муниц!K28</f>
        <v>538.4</v>
      </c>
      <c r="L31" s="101">
        <f t="shared" si="3"/>
        <v>0.7912332838038634</v>
      </c>
      <c r="M31" s="98">
        <f>муниц!M28</f>
        <v>47.2</v>
      </c>
      <c r="N31" s="98">
        <f>муниц!N28</f>
        <v>61.2</v>
      </c>
      <c r="O31" s="101">
        <f t="shared" si="4"/>
        <v>0.7712418300653595</v>
      </c>
      <c r="P31" s="98">
        <f>муниц!P28+Новотр!P27</f>
        <v>161</v>
      </c>
      <c r="Q31" s="98">
        <f>муниц!Q28</f>
        <v>0</v>
      </c>
      <c r="R31" s="98">
        <f>муниц!R28</f>
        <v>43.7</v>
      </c>
      <c r="S31" s="26"/>
    </row>
    <row r="32" spans="1:19" ht="18">
      <c r="A32" s="13" t="s">
        <v>110</v>
      </c>
      <c r="B32" s="13">
        <v>1110507500</v>
      </c>
      <c r="C32" s="98">
        <f>'Лен '!C27+муниц!C29+Высокор!C26</f>
        <v>423.5</v>
      </c>
      <c r="D32" s="98">
        <f>'Лен '!D27+муниц!D29</f>
        <v>0</v>
      </c>
      <c r="E32" s="99">
        <f t="shared" si="10"/>
        <v>423.5</v>
      </c>
      <c r="F32" s="98">
        <f>'Лен '!F29+Гост!F27</f>
        <v>0</v>
      </c>
      <c r="G32" s="98">
        <f>'Лен '!G27+муниц!G29+Высокор!G26</f>
        <v>658.4</v>
      </c>
      <c r="H32" s="100">
        <f t="shared" si="11"/>
        <v>984.5</v>
      </c>
      <c r="I32" s="101">
        <f t="shared" si="1"/>
        <v>2.324675324675325</v>
      </c>
      <c r="J32" s="101">
        <f t="shared" si="2"/>
        <v>0</v>
      </c>
      <c r="K32" s="98">
        <f>'Лен '!K27+муниц!K29</f>
        <v>941.7</v>
      </c>
      <c r="L32" s="101">
        <f t="shared" si="3"/>
        <v>1.0454497185940321</v>
      </c>
      <c r="M32" s="98">
        <f>'Лен '!M27+муниц!M29+Высокор!M26</f>
        <v>326.09999999999997</v>
      </c>
      <c r="N32" s="98">
        <f>'Лен '!N27+муниц!N29</f>
        <v>121.6</v>
      </c>
      <c r="O32" s="101">
        <f t="shared" si="4"/>
        <v>2.6817434210526314</v>
      </c>
      <c r="P32" s="109"/>
      <c r="Q32" s="109"/>
      <c r="R32" s="109"/>
      <c r="S32" s="26"/>
    </row>
    <row r="33" spans="1:19" ht="18">
      <c r="A33" s="13" t="s">
        <v>23</v>
      </c>
      <c r="B33" s="13">
        <v>1110904505</v>
      </c>
      <c r="C33" s="98">
        <f>муниц!C30+'Лен '!C28+Высокор!C27+Гост!C28+Новотр!C27+Черн!C27</f>
        <v>718</v>
      </c>
      <c r="D33" s="98">
        <f>муниц!D30+'Лен '!D28+Высокор!D27+Гост!D28+Новотр!D27+Черн!D27</f>
        <v>271.6</v>
      </c>
      <c r="E33" s="119">
        <f t="shared" si="10"/>
        <v>989.6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458.09999999999997</v>
      </c>
      <c r="H33" s="100">
        <f t="shared" si="11"/>
        <v>524.5999999999999</v>
      </c>
      <c r="I33" s="101">
        <f t="shared" si="1"/>
        <v>0.5301131770412286</v>
      </c>
      <c r="J33" s="101">
        <f t="shared" si="2"/>
        <v>0</v>
      </c>
      <c r="K33" s="98">
        <f>муниц!K30+'Лен '!K28+Высокор!K27+Гост!K28+Новотр!K27+Черн!K27</f>
        <v>527.3</v>
      </c>
      <c r="L33" s="101">
        <f t="shared" si="3"/>
        <v>0.9948795751943864</v>
      </c>
      <c r="M33" s="98">
        <f>муниц!M30+'Лен '!M28+Высокор!M27+Гост!M28+Новотр!M27+Черн!M27</f>
        <v>66.5</v>
      </c>
      <c r="N33" s="98">
        <f>муниц!N30+'Лен '!N28+Высокор!N27+Гост!N28+Новотр!N27+Черн!N27</f>
        <v>85.9</v>
      </c>
      <c r="O33" s="101">
        <f t="shared" si="4"/>
        <v>0.7741559953434225</v>
      </c>
      <c r="P33" s="109">
        <f>'Лен '!P28</f>
        <v>0</v>
      </c>
      <c r="Q33" s="109">
        <f>'Лен '!Q28+Новотр!Q27</f>
        <v>0</v>
      </c>
      <c r="R33" s="109">
        <f>'Лен '!R28</f>
        <v>0</v>
      </c>
      <c r="S33" s="26"/>
    </row>
    <row r="34" spans="1:19" ht="18">
      <c r="A34" s="9" t="s">
        <v>81</v>
      </c>
      <c r="B34" s="18">
        <v>1120000000</v>
      </c>
      <c r="C34" s="103">
        <f>муниц!C31</f>
        <v>24.2</v>
      </c>
      <c r="D34" s="103">
        <f>муниц!D31</f>
        <v>0</v>
      </c>
      <c r="E34" s="105">
        <f t="shared" si="10"/>
        <v>24.2</v>
      </c>
      <c r="F34" s="103">
        <f>муниц!F31</f>
        <v>75</v>
      </c>
      <c r="G34" s="103">
        <f>муниц!G31</f>
        <v>68.3</v>
      </c>
      <c r="H34" s="96">
        <f t="shared" si="11"/>
        <v>68.39999999999999</v>
      </c>
      <c r="I34" s="97">
        <f t="shared" si="1"/>
        <v>2.8264462809917354</v>
      </c>
      <c r="J34" s="97">
        <f t="shared" si="2"/>
        <v>0.9119999999999999</v>
      </c>
      <c r="K34" s="103">
        <f>муниц!K31</f>
        <v>25.9</v>
      </c>
      <c r="L34" s="97">
        <f t="shared" si="3"/>
        <v>2.6409266409266405</v>
      </c>
      <c r="M34" s="103">
        <f>муниц!M31</f>
        <v>0.1</v>
      </c>
      <c r="N34" s="103">
        <f>муниц!N31</f>
        <v>0</v>
      </c>
      <c r="O34" s="97">
        <f t="shared" si="4"/>
        <v>0</v>
      </c>
      <c r="P34" s="96"/>
      <c r="Q34" s="106"/>
      <c r="R34" s="106"/>
      <c r="S34" s="26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9447</v>
      </c>
      <c r="D35" s="103">
        <f t="shared" si="12"/>
        <v>729.452</v>
      </c>
      <c r="E35" s="104">
        <f t="shared" si="12"/>
        <v>10176.452</v>
      </c>
      <c r="F35" s="103">
        <f t="shared" si="12"/>
        <v>5703.4</v>
      </c>
      <c r="G35" s="103">
        <f t="shared" si="12"/>
        <v>4835.3</v>
      </c>
      <c r="H35" s="103">
        <f t="shared" si="12"/>
        <v>5619.6</v>
      </c>
      <c r="I35" s="97">
        <f t="shared" si="1"/>
        <v>0.5522160375738028</v>
      </c>
      <c r="J35" s="97">
        <f t="shared" si="2"/>
        <v>0.9853070098537715</v>
      </c>
      <c r="K35" s="103">
        <f>SUM(K36:K38)</f>
        <v>5946.2</v>
      </c>
      <c r="L35" s="97">
        <f t="shared" si="3"/>
        <v>0.9450741650129495</v>
      </c>
      <c r="M35" s="103">
        <f>SUM(M36:M38)</f>
        <v>784.3</v>
      </c>
      <c r="N35" s="103">
        <f>SUM(N36:N38)</f>
        <v>782.9000000000001</v>
      </c>
      <c r="O35" s="97">
        <f t="shared" si="4"/>
        <v>1.0017882232724484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19" ht="18">
      <c r="A36" s="15" t="s">
        <v>34</v>
      </c>
      <c r="B36" s="22">
        <v>1130199500</v>
      </c>
      <c r="C36" s="110">
        <f>муниц!C33</f>
        <v>7890</v>
      </c>
      <c r="D36" s="110">
        <f>муниц!D33</f>
        <v>0</v>
      </c>
      <c r="E36" s="102">
        <f t="shared" si="10"/>
        <v>7890</v>
      </c>
      <c r="F36" s="110">
        <f>муниц!F33</f>
        <v>5203.4</v>
      </c>
      <c r="G36" s="110">
        <f>муниц!G33</f>
        <v>3962.5</v>
      </c>
      <c r="H36" s="100">
        <f>G36+M36</f>
        <v>4565.7</v>
      </c>
      <c r="I36" s="101">
        <f>IF(E36&gt;0,H36/E36,0)</f>
        <v>0.5786692015209125</v>
      </c>
      <c r="J36" s="101">
        <f>IF(F36&gt;0,H36/F36,0)</f>
        <v>0.8774455163931276</v>
      </c>
      <c r="K36" s="110">
        <f>муниц!K33</f>
        <v>4437.5</v>
      </c>
      <c r="L36" s="101">
        <f t="shared" si="3"/>
        <v>1.0288901408450704</v>
      </c>
      <c r="M36" s="110">
        <f>муниц!M33</f>
        <v>603.2</v>
      </c>
      <c r="N36" s="110">
        <f>муниц!N33</f>
        <v>584.1</v>
      </c>
      <c r="O36" s="101">
        <f t="shared" si="4"/>
        <v>1.0326998801575074</v>
      </c>
      <c r="P36" s="111"/>
      <c r="Q36" s="112"/>
      <c r="R36" s="112"/>
      <c r="S36" s="26"/>
    </row>
    <row r="37" spans="1:19" ht="18">
      <c r="A37" s="15" t="s">
        <v>35</v>
      </c>
      <c r="B37" s="22">
        <v>1130206500</v>
      </c>
      <c r="C37" s="110">
        <f>муниц!C34+'Лен '!C31</f>
        <v>507</v>
      </c>
      <c r="D37" s="110">
        <f>муниц!D34+'Лен '!D31</f>
        <v>0</v>
      </c>
      <c r="E37" s="119">
        <f t="shared" si="10"/>
        <v>507</v>
      </c>
      <c r="F37" s="110">
        <f>муниц!F34</f>
        <v>500</v>
      </c>
      <c r="G37" s="110">
        <f>муниц!G34+'Лен '!G31</f>
        <v>245.5</v>
      </c>
      <c r="H37" s="100">
        <f>G37+M37</f>
        <v>309.3</v>
      </c>
      <c r="I37" s="101">
        <f>IF(E37&gt;0,H37/E37,0)</f>
        <v>0.6100591715976331</v>
      </c>
      <c r="J37" s="101">
        <f>IF(F37&gt;0,H37/F37,0)</f>
        <v>0.6186</v>
      </c>
      <c r="K37" s="110">
        <f>муниц!K34+'Лен '!K31</f>
        <v>325.9</v>
      </c>
      <c r="L37" s="101">
        <f t="shared" si="3"/>
        <v>0.9490641301012581</v>
      </c>
      <c r="M37" s="110">
        <f>муниц!M34+'Лен '!M31</f>
        <v>63.8</v>
      </c>
      <c r="N37" s="110">
        <f>муниц!N34+'Лен '!N31</f>
        <v>13.7</v>
      </c>
      <c r="O37" s="101">
        <f t="shared" si="4"/>
        <v>4.656934306569343</v>
      </c>
      <c r="P37" s="111"/>
      <c r="Q37" s="112"/>
      <c r="R37" s="112"/>
      <c r="S37" s="26"/>
    </row>
    <row r="38" spans="1:19" ht="18">
      <c r="A38" s="15" t="s">
        <v>38</v>
      </c>
      <c r="B38" s="22">
        <v>1130299510</v>
      </c>
      <c r="C38" s="110">
        <f>муниц!C35+'Лен '!C32+Высокор!C28+Гост!C29+Новотр!C28+Черн!C28</f>
        <v>1050</v>
      </c>
      <c r="D38" s="156">
        <f>муниц!D35+'Лен '!D32+Высокор!D28+Гост!D29+Новотр!D28+Черн!D28</f>
        <v>729.452</v>
      </c>
      <c r="E38" s="119">
        <f t="shared" si="10"/>
        <v>1779.452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627.3</v>
      </c>
      <c r="H38" s="100">
        <f>G38+M38</f>
        <v>744.5999999999999</v>
      </c>
      <c r="I38" s="101">
        <f>IF(E38&gt;0,H38/E38,0)</f>
        <v>0.41844343089895086</v>
      </c>
      <c r="J38" s="101">
        <f>IF(F38&gt;0,H38/F38,0)</f>
        <v>0</v>
      </c>
      <c r="K38" s="110">
        <f>муниц!K35+'Лен '!K32+Высокор!K28+Гост!K29+Новотр!K28+Черн!K28</f>
        <v>1182.8</v>
      </c>
      <c r="L38" s="101">
        <f t="shared" si="3"/>
        <v>0.6295231653703077</v>
      </c>
      <c r="M38" s="110">
        <f>муниц!M35+'Лен '!M32+Высокор!M28+Гост!M29+Новотр!M28+Черн!M28</f>
        <v>117.30000000000001</v>
      </c>
      <c r="N38" s="110">
        <f>муниц!N35+'Лен '!N32+Высокор!N28+Гост!N29+Новотр!N28+Черн!N28</f>
        <v>185.1</v>
      </c>
      <c r="O38" s="101">
        <f t="shared" si="4"/>
        <v>0.633711507293355</v>
      </c>
      <c r="P38" s="111"/>
      <c r="Q38" s="112"/>
      <c r="R38" s="112"/>
      <c r="S38" s="26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34920.065</v>
      </c>
      <c r="D39" s="103">
        <f t="shared" si="13"/>
        <v>10281.357000000002</v>
      </c>
      <c r="E39" s="103">
        <f t="shared" si="13"/>
        <v>45201.422</v>
      </c>
      <c r="F39" s="103">
        <f t="shared" si="13"/>
        <v>0</v>
      </c>
      <c r="G39" s="103">
        <f t="shared" si="13"/>
        <v>1037.2</v>
      </c>
      <c r="H39" s="103">
        <f t="shared" si="13"/>
        <v>3248.0000000000005</v>
      </c>
      <c r="I39" s="97">
        <f t="shared" si="1"/>
        <v>0.0718561464725601</v>
      </c>
      <c r="J39" s="97">
        <f t="shared" si="2"/>
        <v>0</v>
      </c>
      <c r="K39" s="103">
        <f>SUM(K40:K41)</f>
        <v>9826.1</v>
      </c>
      <c r="L39" s="97">
        <f t="shared" si="3"/>
        <v>0.3305482337855304</v>
      </c>
      <c r="M39" s="103">
        <f>SUM(M40:M41)</f>
        <v>2210.8</v>
      </c>
      <c r="N39" s="103">
        <f>SUM(N40:N41)</f>
        <v>0.30000000000000004</v>
      </c>
      <c r="O39" s="97">
        <f t="shared" si="4"/>
        <v>7369.333333333333</v>
      </c>
      <c r="P39" s="106"/>
      <c r="Q39" s="106"/>
      <c r="R39" s="106"/>
      <c r="S39" s="26"/>
    </row>
    <row r="40" spans="1:19" ht="18">
      <c r="A40" s="13" t="s">
        <v>31</v>
      </c>
      <c r="B40" s="13">
        <v>1140205200</v>
      </c>
      <c r="C40" s="110">
        <f>муниц!C37+'Лен '!C34+Высокор!C29+Гост!C30+Новотр!C30+Черн!C29</f>
        <v>34385.065</v>
      </c>
      <c r="D40" s="110">
        <f>муниц!D37+'Лен '!D34+Высокор!D29+Гост!D30+Новотр!D30+Черн!D29</f>
        <v>10138.301000000001</v>
      </c>
      <c r="E40" s="102">
        <f t="shared" si="10"/>
        <v>44523.366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1029.4</v>
      </c>
      <c r="H40" s="100">
        <f>G40+M40</f>
        <v>3237.2000000000003</v>
      </c>
      <c r="I40" s="101">
        <f t="shared" si="1"/>
        <v>0.07270789005485345</v>
      </c>
      <c r="J40" s="101">
        <f t="shared" si="2"/>
        <v>0</v>
      </c>
      <c r="K40" s="110">
        <f>муниц!K37+'Лен '!K34+Высокор!K29+Гост!K30+Новотр!K30+Черн!K29</f>
        <v>8361.1</v>
      </c>
      <c r="L40" s="101">
        <f t="shared" si="3"/>
        <v>0.38717393644376935</v>
      </c>
      <c r="M40" s="110">
        <f>муниц!M37+'Лен '!M34+Высокор!M29+Гост!M30+Новотр!M30+Черн!M29</f>
        <v>2207.8</v>
      </c>
      <c r="N40" s="110">
        <f>муниц!N37+'Лен '!N34+Высокор!N29+Гост!N30+Новотр!N30+Черн!N29</f>
        <v>0</v>
      </c>
      <c r="O40" s="101">
        <f t="shared" si="4"/>
        <v>0</v>
      </c>
      <c r="P40" s="112"/>
      <c r="Q40" s="112"/>
      <c r="R40" s="112"/>
      <c r="S40" s="26"/>
    </row>
    <row r="41" spans="1:19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535</v>
      </c>
      <c r="D41" s="110">
        <f>муниц!D38+'Лен '!D35+Высокор!D30+Гост!D31+Новотр!D29+Черн!D30+'Лен '!D36</f>
        <v>143.05599999999998</v>
      </c>
      <c r="E41" s="102">
        <f t="shared" si="10"/>
        <v>678.056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7.799999999999997</v>
      </c>
      <c r="H41" s="100">
        <f>G41+M41</f>
        <v>10.799999999999997</v>
      </c>
      <c r="I41" s="101">
        <f t="shared" si="1"/>
        <v>0.015927887962056225</v>
      </c>
      <c r="J41" s="101">
        <f t="shared" si="2"/>
        <v>0</v>
      </c>
      <c r="K41" s="110">
        <f>муниц!K38+'Лен '!K35+Высокор!K30+Гост!K31+Новотр!K29+Черн!K30+'Лен '!K36</f>
        <v>1465</v>
      </c>
      <c r="L41" s="101">
        <f t="shared" si="3"/>
        <v>0.0073720136518771314</v>
      </c>
      <c r="M41" s="110">
        <f>муниц!M38+'Лен '!M35+Высокор!M30+Гост!M31+Новотр!M29+Черн!M30+'Лен '!M36</f>
        <v>3</v>
      </c>
      <c r="N41" s="110">
        <f>муниц!N38+'Лен '!N35+Высокор!N30+Гост!N31+Новотр!N29+Черн!N30+'Лен '!N36</f>
        <v>0.30000000000000004</v>
      </c>
      <c r="O41" s="101">
        <f t="shared" si="4"/>
        <v>9.999999999999998</v>
      </c>
      <c r="P41" s="112"/>
      <c r="Q41" s="112"/>
      <c r="R41" s="112"/>
      <c r="S41" s="26"/>
    </row>
    <row r="42" spans="1:19" ht="18">
      <c r="A42" s="9" t="s">
        <v>87</v>
      </c>
      <c r="B42" s="18">
        <v>1160000000</v>
      </c>
      <c r="C42" s="103">
        <f>муниц!C39+'Лен '!C37+Высокор!C31+Гост!C32+Новотр!C31+Черн!C31</f>
        <v>65.1</v>
      </c>
      <c r="D42" s="103">
        <f>муниц!D39+'Лен '!D37+Высокор!D31+Гост!D32+Новотр!D31+Черн!D31</f>
        <v>0</v>
      </c>
      <c r="E42" s="105">
        <f t="shared" si="10"/>
        <v>65.1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1185.1999999999998</v>
      </c>
      <c r="H42" s="96">
        <f>G42+M42</f>
        <v>1257.1999999999998</v>
      </c>
      <c r="I42" s="97">
        <f t="shared" si="1"/>
        <v>19.311827956989248</v>
      </c>
      <c r="J42" s="97">
        <f t="shared" si="2"/>
        <v>15.146987951807226</v>
      </c>
      <c r="K42" s="103">
        <f>муниц!K39+'Лен '!K37+Высокор!K31+Гост!K32+Новотр!K31+Черн!K31</f>
        <v>2182.9</v>
      </c>
      <c r="L42" s="97">
        <f t="shared" si="3"/>
        <v>0.5759311008291721</v>
      </c>
      <c r="M42" s="103">
        <f>муниц!M39+'Лен '!M37+Высокор!M31+Гост!M32+Новотр!M31+Черн!M31</f>
        <v>72</v>
      </c>
      <c r="N42" s="103">
        <f>муниц!N39+'Лен '!N37+Высокор!N31+Гост!N32+Новотр!N31+Черн!N31</f>
        <v>331.4</v>
      </c>
      <c r="O42" s="97">
        <f t="shared" si="4"/>
        <v>0.21726010863005432</v>
      </c>
      <c r="P42" s="106"/>
      <c r="Q42" s="106"/>
      <c r="R42" s="106"/>
      <c r="S42" s="26"/>
    </row>
    <row r="43" spans="1:19" ht="18">
      <c r="A43" s="9" t="s">
        <v>88</v>
      </c>
      <c r="B43" s="18">
        <v>1170000000</v>
      </c>
      <c r="C43" s="103">
        <f aca="true" t="shared" si="14" ref="C43:H43">SUM(C44:C46)</f>
        <v>599.28</v>
      </c>
      <c r="D43" s="103">
        <f t="shared" si="14"/>
        <v>644.325</v>
      </c>
      <c r="E43" s="103">
        <f t="shared" si="14"/>
        <v>1243.605</v>
      </c>
      <c r="F43" s="103">
        <f t="shared" si="14"/>
        <v>0</v>
      </c>
      <c r="G43" s="103">
        <f t="shared" si="14"/>
        <v>1329.1</v>
      </c>
      <c r="H43" s="103">
        <f t="shared" si="14"/>
        <v>1335</v>
      </c>
      <c r="I43" s="97">
        <f t="shared" si="1"/>
        <v>1.0734919849952356</v>
      </c>
      <c r="J43" s="97">
        <f t="shared" si="2"/>
        <v>0</v>
      </c>
      <c r="K43" s="103">
        <f>SUM(K44:K46)</f>
        <v>482.3</v>
      </c>
      <c r="L43" s="97">
        <f t="shared" si="3"/>
        <v>2.767986730250881</v>
      </c>
      <c r="M43" s="103">
        <f>SUM(M44:M46)</f>
        <v>5.9</v>
      </c>
      <c r="N43" s="103">
        <f>SUM(N44:N46)</f>
        <v>0.5</v>
      </c>
      <c r="O43" s="97">
        <f t="shared" si="4"/>
        <v>11.8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4.7</v>
      </c>
      <c r="H44" s="100">
        <f>G44+M44</f>
        <v>10.600000000000001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0.1</v>
      </c>
      <c r="L44" s="101">
        <f t="shared" si="3"/>
        <v>106.00000000000001</v>
      </c>
      <c r="M44" s="98">
        <f>муниц!M41+'Лен '!M39+Высокор!M33+Гост!M34+Новотр!M33+Черн!M33</f>
        <v>5.9</v>
      </c>
      <c r="N44" s="98">
        <f>муниц!N41+'Лен '!N39+Высокор!N33+Гост!N34+Новотр!N33+Черн!N33</f>
        <v>0</v>
      </c>
      <c r="O44" s="101">
        <f t="shared" si="4"/>
        <v>0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0</v>
      </c>
      <c r="E45" s="102">
        <f>C45+D45</f>
        <v>0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0.9</v>
      </c>
      <c r="H45" s="100">
        <f>G45+M45</f>
        <v>0.9</v>
      </c>
      <c r="I45" s="101">
        <f t="shared" si="1"/>
        <v>0</v>
      </c>
      <c r="J45" s="101">
        <f t="shared" si="2"/>
        <v>0</v>
      </c>
      <c r="K45" s="98">
        <f>муниц!K42+'Лен '!K40+Высокор!K34+Гост!K35+Новотр!K34+Черн!K34</f>
        <v>0.9</v>
      </c>
      <c r="L45" s="101">
        <f t="shared" si="3"/>
        <v>1</v>
      </c>
      <c r="M45" s="98">
        <f>муниц!M42+'Лен '!M40+Высокор!M34+Гост!M35+Новотр!M34+Черн!M34</f>
        <v>0</v>
      </c>
      <c r="N45" s="98">
        <f>муниц!N42+'Лен '!N40+Высокор!N34+Гост!N35+Новотр!N34+Черн!N34</f>
        <v>0</v>
      </c>
      <c r="O45" s="101">
        <f t="shared" si="4"/>
        <v>0</v>
      </c>
      <c r="P45" s="98"/>
      <c r="Q45" s="98"/>
      <c r="R45" s="98"/>
      <c r="S45" s="26"/>
    </row>
    <row r="46" spans="1:19" ht="18">
      <c r="A46" s="45" t="s">
        <v>119</v>
      </c>
      <c r="B46" s="180">
        <v>1171503005</v>
      </c>
      <c r="C46" s="98">
        <f>муниц!C43+'Лен '!C41</f>
        <v>599.28</v>
      </c>
      <c r="D46" s="98">
        <f>муниц!D43+'Лен '!D41</f>
        <v>644.325</v>
      </c>
      <c r="E46" s="102">
        <f>C46+D46</f>
        <v>1243.605</v>
      </c>
      <c r="F46" s="98"/>
      <c r="G46" s="98">
        <f>муниц!G43+'Лен '!G41</f>
        <v>1323.5</v>
      </c>
      <c r="H46" s="100">
        <f>G46+M46</f>
        <v>1323.5</v>
      </c>
      <c r="I46" s="101">
        <f t="shared" si="1"/>
        <v>1.0642446757611943</v>
      </c>
      <c r="J46" s="101"/>
      <c r="K46" s="98">
        <f>муниц!K43+'Лен '!K41</f>
        <v>481.3</v>
      </c>
      <c r="L46" s="101">
        <f t="shared" si="3"/>
        <v>2.7498441720340745</v>
      </c>
      <c r="M46" s="98">
        <f>муниц!M43+'Лен '!M41</f>
        <v>0</v>
      </c>
      <c r="N46" s="98">
        <f>муниц!N43+'Лен '!N41</f>
        <v>0.5</v>
      </c>
      <c r="O46" s="101">
        <f t="shared" si="4"/>
        <v>0</v>
      </c>
      <c r="P46" s="98"/>
      <c r="Q46" s="98"/>
      <c r="R46" s="98"/>
      <c r="S46" s="26"/>
    </row>
    <row r="47" spans="1:19" ht="18">
      <c r="A47" s="16" t="s">
        <v>6</v>
      </c>
      <c r="B47" s="23">
        <v>1000000000</v>
      </c>
      <c r="C47" s="113">
        <f aca="true" t="shared" si="15" ref="C47:H47">C5+C27</f>
        <v>131255.245</v>
      </c>
      <c r="D47" s="113">
        <f t="shared" si="15"/>
        <v>12526.087000000003</v>
      </c>
      <c r="E47" s="182">
        <f t="shared" si="15"/>
        <v>143781.332</v>
      </c>
      <c r="F47" s="115" t="e">
        <f t="shared" si="15"/>
        <v>#REF!</v>
      </c>
      <c r="G47" s="116">
        <f t="shared" si="15"/>
        <v>82364.90000000001</v>
      </c>
      <c r="H47" s="116">
        <f t="shared" si="15"/>
        <v>90142.29999999999</v>
      </c>
      <c r="I47" s="117">
        <f t="shared" si="1"/>
        <v>0.6269402205844079</v>
      </c>
      <c r="J47" s="117" t="e">
        <f t="shared" si="2"/>
        <v>#REF!</v>
      </c>
      <c r="K47" s="114">
        <f>K5+K27</f>
        <v>82626.4</v>
      </c>
      <c r="L47" s="117">
        <f t="shared" si="3"/>
        <v>1.0909624526785626</v>
      </c>
      <c r="M47" s="116">
        <f>M5+M27</f>
        <v>7777.4</v>
      </c>
      <c r="N47" s="116">
        <f>N5+N27</f>
        <v>5156.1</v>
      </c>
      <c r="O47" s="117">
        <f t="shared" si="4"/>
        <v>1.5083881228059965</v>
      </c>
      <c r="P47" s="114">
        <f>P5+P27</f>
        <v>1276.9</v>
      </c>
      <c r="Q47" s="114">
        <f>Q5+Q27</f>
        <v>1508.3</v>
      </c>
      <c r="R47" s="114">
        <f>R5+R27</f>
        <v>1151</v>
      </c>
      <c r="S47" s="26"/>
    </row>
    <row r="48" spans="1:19" ht="18">
      <c r="A48" s="13" t="s">
        <v>36</v>
      </c>
      <c r="B48" s="21">
        <v>2000000000</v>
      </c>
      <c r="C48" s="118">
        <f>муниц!C46+1500+0.4+18240+510.3+4042.25</f>
        <v>372527.07</v>
      </c>
      <c r="D48" s="118">
        <f>муниц!D46+3000+1500-4042.25+5.5+6885.15+5.5+5.5</f>
        <v>44773.113000000005</v>
      </c>
      <c r="E48" s="119">
        <f>C48+D48</f>
        <v>417300.183</v>
      </c>
      <c r="F48" s="100">
        <f>муниц!F46</f>
        <v>74695.19</v>
      </c>
      <c r="G48" s="100">
        <f>муниц!G46+91.6+693.6+44.9+36.2+71.9+18296.89</f>
        <v>201263.99</v>
      </c>
      <c r="H48" s="100">
        <f>G48+M48</f>
        <v>218025.38999999998</v>
      </c>
      <c r="I48" s="101">
        <f t="shared" si="1"/>
        <v>0.5224665573654924</v>
      </c>
      <c r="J48" s="101">
        <f t="shared" si="2"/>
        <v>2.918867868198742</v>
      </c>
      <c r="K48" s="100">
        <v>161980.9</v>
      </c>
      <c r="L48" s="101">
        <f t="shared" si="3"/>
        <v>1.345994435146366</v>
      </c>
      <c r="M48" s="100">
        <f>муниц!M46</f>
        <v>16761.4</v>
      </c>
      <c r="N48" s="100">
        <v>15836.1</v>
      </c>
      <c r="O48" s="101">
        <f t="shared" si="4"/>
        <v>1.0584297901629822</v>
      </c>
      <c r="P48" s="109"/>
      <c r="Q48" s="109"/>
      <c r="R48" s="109"/>
      <c r="S48" s="26"/>
    </row>
    <row r="49" spans="1:19" ht="18.75">
      <c r="A49" s="8" t="s">
        <v>114</v>
      </c>
      <c r="B49" s="128" t="s">
        <v>102</v>
      </c>
      <c r="C49" s="118">
        <f>муниц!C47</f>
        <v>1045.22</v>
      </c>
      <c r="D49" s="118">
        <f>муниц!D47</f>
        <v>-45.22000000000003</v>
      </c>
      <c r="E49" s="102">
        <f>C49+D49</f>
        <v>1000</v>
      </c>
      <c r="F49" s="100"/>
      <c r="G49" s="100">
        <f>муниц!G47</f>
        <v>1003.3</v>
      </c>
      <c r="H49" s="100">
        <f>G49+M49</f>
        <v>1003.3</v>
      </c>
      <c r="I49" s="101">
        <f t="shared" si="1"/>
        <v>1.0032999999999999</v>
      </c>
      <c r="J49" s="101"/>
      <c r="K49" s="100">
        <v>1017</v>
      </c>
      <c r="L49" s="101"/>
      <c r="M49" s="100">
        <f>муниц!M47</f>
        <v>0</v>
      </c>
      <c r="N49" s="100"/>
      <c r="O49" s="101">
        <f t="shared" si="4"/>
        <v>0</v>
      </c>
      <c r="P49" s="109"/>
      <c r="Q49" s="109"/>
      <c r="R49" s="109"/>
      <c r="S49" s="26"/>
    </row>
    <row r="50" spans="1:19" ht="18">
      <c r="A50" s="13" t="s">
        <v>46</v>
      </c>
      <c r="B50" s="24" t="s">
        <v>39</v>
      </c>
      <c r="C50" s="98">
        <f>муниц!C48</f>
        <v>85.8</v>
      </c>
      <c r="D50" s="184">
        <f>муниц!D48+'Лен '!D45+Высокор!D38+Гост!D39+Новотр!D38+Черн!D38</f>
        <v>0</v>
      </c>
      <c r="E50" s="102">
        <f>C50+D50</f>
        <v>85.8</v>
      </c>
      <c r="F50" s="98">
        <f>муниц!F47+'Лен '!F45+Высокор!F38+Гост!F39+Новотр!F38+Черн!F38</f>
        <v>0</v>
      </c>
      <c r="G50" s="98">
        <f>муниц!G48</f>
        <v>105.3</v>
      </c>
      <c r="H50" s="100">
        <f>G50+M50</f>
        <v>106</v>
      </c>
      <c r="I50" s="101">
        <f>IF(E50&gt;0,H50/E50,0)</f>
        <v>1.2354312354312356</v>
      </c>
      <c r="J50" s="101">
        <f>IF(F50&gt;0,H50/F50,0)</f>
        <v>0</v>
      </c>
      <c r="K50" s="98">
        <v>38.7</v>
      </c>
      <c r="L50" s="101">
        <f t="shared" si="3"/>
        <v>2.739018087855297</v>
      </c>
      <c r="M50" s="98">
        <f>муниц!M48+'Лен '!M45+Высокор!M38+Гост!M39+Новотр!M38+Черн!M38</f>
        <v>0.7</v>
      </c>
      <c r="N50" s="98">
        <v>3.4</v>
      </c>
      <c r="O50" s="101">
        <f t="shared" si="4"/>
        <v>0.20588235294117646</v>
      </c>
      <c r="P50" s="109"/>
      <c r="Q50" s="109"/>
      <c r="R50" s="109"/>
      <c r="S50" s="26"/>
    </row>
    <row r="51" spans="1:19" ht="21" customHeight="1">
      <c r="A51" s="8" t="s">
        <v>93</v>
      </c>
      <c r="B51" s="128" t="s">
        <v>94</v>
      </c>
      <c r="C51" s="98"/>
      <c r="D51" s="98">
        <f>муниц!D50</f>
        <v>-22.126</v>
      </c>
      <c r="E51" s="119">
        <f>C51+D51</f>
        <v>-22.126</v>
      </c>
      <c r="F51" s="98"/>
      <c r="G51" s="98">
        <f>муниц!G50</f>
        <v>-22.1</v>
      </c>
      <c r="H51" s="100">
        <f>G51+M51</f>
        <v>-22.1</v>
      </c>
      <c r="I51" s="101"/>
      <c r="J51" s="101"/>
      <c r="K51" s="98">
        <f>муниц!K50</f>
        <v>-2.7</v>
      </c>
      <c r="L51" s="101">
        <f t="shared" si="3"/>
        <v>0</v>
      </c>
      <c r="M51" s="98">
        <f>муниц!M50</f>
        <v>0</v>
      </c>
      <c r="N51" s="98"/>
      <c r="O51" s="101"/>
      <c r="P51" s="109"/>
      <c r="Q51" s="109"/>
      <c r="R51" s="109"/>
      <c r="S51" s="26"/>
    </row>
    <row r="52" spans="1:19" ht="18">
      <c r="A52" s="16" t="s">
        <v>2</v>
      </c>
      <c r="B52" s="25"/>
      <c r="C52" s="116">
        <f aca="true" t="shared" si="16" ref="C52:H52">C47+C48+C49+C50+C51</f>
        <v>504913.33499999996</v>
      </c>
      <c r="D52" s="116">
        <f t="shared" si="16"/>
        <v>57231.854000000014</v>
      </c>
      <c r="E52" s="113">
        <f t="shared" si="16"/>
        <v>562145.189</v>
      </c>
      <c r="F52" s="116" t="e">
        <f t="shared" si="16"/>
        <v>#REF!</v>
      </c>
      <c r="G52" s="116">
        <f t="shared" si="16"/>
        <v>284715.39</v>
      </c>
      <c r="H52" s="116">
        <f t="shared" si="16"/>
        <v>309254.88999999996</v>
      </c>
      <c r="I52" s="117">
        <f t="shared" si="1"/>
        <v>0.5501334816191052</v>
      </c>
      <c r="J52" s="117" t="e">
        <f t="shared" si="2"/>
        <v>#REF!</v>
      </c>
      <c r="K52" s="116">
        <f>K47+K48+K49+K50+K51</f>
        <v>245660.3</v>
      </c>
      <c r="L52" s="117">
        <f t="shared" si="3"/>
        <v>1.2588720684620183</v>
      </c>
      <c r="M52" s="116">
        <f>M47+M48+M49+M50+M51</f>
        <v>24539.500000000004</v>
      </c>
      <c r="N52" s="116">
        <f>N47+N48+N49+N50+N51</f>
        <v>20995.600000000002</v>
      </c>
      <c r="O52" s="117">
        <f t="shared" si="4"/>
        <v>1.168792508906628</v>
      </c>
      <c r="P52" s="114">
        <f>P47+P48</f>
        <v>1276.9</v>
      </c>
      <c r="Q52" s="114">
        <f>Q47+Q48</f>
        <v>1508.3</v>
      </c>
      <c r="R52" s="114">
        <f>R47+R48</f>
        <v>1151</v>
      </c>
      <c r="S52" s="26"/>
    </row>
    <row r="53" spans="2:19" ht="15">
      <c r="B53" s="26"/>
      <c r="C53" s="26"/>
      <c r="D53" s="26"/>
      <c r="E53" s="26"/>
      <c r="F53" s="26"/>
      <c r="G53" s="26"/>
      <c r="H53" s="27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</sheetData>
  <sheetProtection/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2022-10-14T10:53:19Z</cp:lastPrinted>
  <dcterms:created xsi:type="dcterms:W3CDTF">2003-11-05T12:49:21Z</dcterms:created>
  <dcterms:modified xsi:type="dcterms:W3CDTF">2022-10-21T08:17:55Z</dcterms:modified>
  <cp:category/>
  <cp:version/>
  <cp:contentType/>
  <cp:contentStatus/>
</cp:coreProperties>
</file>