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'консолид'!$A$1:$S$52</definedName>
    <definedName name="_xlnm.Print_Area" localSheetId="0">'муниц'!$A$1:$S$51</definedName>
    <definedName name="_xlnm.Print_Area" localSheetId="5">'Черн'!$A$1:$R$39</definedName>
  </definedNames>
  <calcPr fullCalcOnLoad="1" refMode="R1C1"/>
</workbook>
</file>

<file path=xl/sharedStrings.xml><?xml version="1.0" encoding="utf-8"?>
<sst xmlns="http://schemas.openxmlformats.org/spreadsheetml/2006/main" count="453" uniqueCount="133">
  <si>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</si>
  <si>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</si>
  <si>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</si>
  <si>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</si>
  <si>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</si>
  <si>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</si>
  <si>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</si>
  <si>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</si>
  <si>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</si>
  <si>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</si>
  <si>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</si>
  <si>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</si>
  <si>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</si>
  <si>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</si>
  <si>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</si>
  <si>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</si>
  <si>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</si>
  <si>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</si>
  <si>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</si>
  <si>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</si>
  <si>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</si>
  <si>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</si>
  <si>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</si>
  <si>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</si>
  <si>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</si>
  <si>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</si>
  <si>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</si>
  <si>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</si>
  <si>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</si>
  <si>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</si>
  <si>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</si>
  <si>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</si>
  <si>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</si>
  <si>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</si>
  <si>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</si>
  <si>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</si>
  <si>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</si>
  <si>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</si>
  <si>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</si>
  <si>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</si>
  <si>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</si>
  <si>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</si>
  <si>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</si>
  <si>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</si>
  <si>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</si>
  <si>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</si>
  <si>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</si>
  <si>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</si>
  <si>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</si>
  <si>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</si>
  <si>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</si>
  <si>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</si>
  <si>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</si>
  <si>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</si>
  <si>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</si>
  <si>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</si>
  <si>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</si>
  <si>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</si>
  <si>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</si>
  <si>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</si>
  <si>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</si>
  <si>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</si>
  <si>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</si>
  <si>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</si>
  <si>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</si>
  <si>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</si>
  <si>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</si>
  <si>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</si>
  <si>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</si>
  <si>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</si>
  <si>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</si>
  <si>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</si>
  <si>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</si>
  <si>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</si>
  <si>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</si>
  <si>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</si>
  <si>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</si>
  <si>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</si>
  <si>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</si>
  <si>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</si>
  <si>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</si>
  <si>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</si>
  <si>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</si>
  <si>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</si>
  <si>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</si>
  <si>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</si>
  <si>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</si>
  <si>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</si>
  <si>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</si>
  <si>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</si>
  <si>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</si>
  <si>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</si>
  <si>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</si>
  <si>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</si>
  <si>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</si>
  <si>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</si>
  <si>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</si>
  <si>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</si>
  <si>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</si>
  <si>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</si>
  <si>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</si>
  <si>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</si>
  <si>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</si>
  <si>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</si>
  <si>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</si>
  <si>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</si>
  <si>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</si>
  <si>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</si>
  <si>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</si>
  <si>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</si>
  <si>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</si>
  <si>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</si>
  <si>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доходы от сдачи в аренду им-ва в казне</t>
  </si>
  <si>
    <t>2021 год</t>
  </si>
  <si>
    <t>Безвоз. поступл. от негосуд. организ-й</t>
  </si>
  <si>
    <t>Первоначальный план на 2022 год</t>
  </si>
  <si>
    <t>Уточненный план на 2022 год</t>
  </si>
  <si>
    <t>2022 год</t>
  </si>
  <si>
    <t>на 01.01.2022 года</t>
  </si>
  <si>
    <t>инициативные платежи</t>
  </si>
  <si>
    <t>Фактическое исполнение за январь-май</t>
  </si>
  <si>
    <t>на 01.06.2022 года</t>
  </si>
  <si>
    <t>Фактическое исполнение за январь-июнь</t>
  </si>
  <si>
    <t>Поступило за июнь   2022 года</t>
  </si>
  <si>
    <t>Поступило за  июнь   2021 года</t>
  </si>
  <si>
    <t>об исполнении бюджета Высокораменского сельского поселения на 01 июля    2022 г.</t>
  </si>
  <si>
    <t>Сведения об исполнении бюджета муниципального района по состоянию на  01 июля   2022 года</t>
  </si>
  <si>
    <t xml:space="preserve">об исполнении бюджета Ленинского городского поселения на 01 июля  2022 г. </t>
  </si>
  <si>
    <t>об исполнении бюджета Гостовского сельского поселения на 01 июля  2022г.</t>
  </si>
  <si>
    <t>об исполнении бюджета Новотроицкого сельского поселения на 01 июля   2022 г.</t>
  </si>
  <si>
    <t>об исполнении бюджета Черновского сельского поселения на 01  июля  2022 г.</t>
  </si>
  <si>
    <t xml:space="preserve">об исполнении бюджета муниципального  образования на  01  июля 2022 года </t>
  </si>
  <si>
    <t>на 01.07.2022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</si>
</sst>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  <numFmt numFmtId="180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4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73" fontId="7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13" fillId="0" borderId="17" xfId="0" applyNumberFormat="1" applyFont="1" applyFill="1" applyBorder="1" applyAlignment="1">
      <alignment/>
    </xf>
    <xf numFmtId="18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/>
    </xf>
    <xf numFmtId="180" fontId="9" fillId="33" borderId="12" xfId="0" applyNumberFormat="1" applyFont="1" applyFill="1" applyBorder="1" applyAlignment="1">
      <alignment/>
    </xf>
    <xf numFmtId="174" fontId="5" fillId="36" borderId="12" xfId="0" applyNumberFormat="1" applyFont="1" applyFill="1" applyBorder="1" applyAlignment="1">
      <alignment horizontal="right"/>
    </xf>
    <xf numFmtId="173" fontId="12" fillId="0" borderId="12" xfId="0" applyNumberFormat="1" applyFont="1" applyBorder="1" applyAlignment="1">
      <alignment/>
    </xf>
    <xf numFmtId="2" fontId="5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5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0" sqref="R20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4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3.25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86" t="s">
        <v>126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8" ht="20.25" customHeight="1">
      <c r="A2" s="185" t="s">
        <v>28</v>
      </c>
      <c r="B2" s="185" t="s">
        <v>4</v>
      </c>
      <c r="C2" s="185" t="s">
        <v>115</v>
      </c>
      <c r="D2" s="185" t="s">
        <v>24</v>
      </c>
      <c r="E2" s="185" t="s">
        <v>116</v>
      </c>
      <c r="F2" s="185" t="s">
        <v>99</v>
      </c>
      <c r="G2" s="185" t="s">
        <v>120</v>
      </c>
      <c r="H2" s="185" t="s">
        <v>117</v>
      </c>
      <c r="I2" s="185"/>
      <c r="J2" s="185"/>
      <c r="K2" s="185" t="s">
        <v>113</v>
      </c>
      <c r="L2" s="185"/>
      <c r="M2" s="185" t="s">
        <v>123</v>
      </c>
      <c r="N2" s="185" t="s">
        <v>124</v>
      </c>
      <c r="O2" s="185" t="s">
        <v>30</v>
      </c>
      <c r="P2" s="185" t="s">
        <v>9</v>
      </c>
      <c r="Q2" s="185"/>
      <c r="R2" s="185"/>
    </row>
    <row r="3" spans="1:18" ht="97.5" customHeight="1">
      <c r="A3" s="185"/>
      <c r="B3" s="185"/>
      <c r="C3" s="185"/>
      <c r="D3" s="185"/>
      <c r="E3" s="185"/>
      <c r="F3" s="185"/>
      <c r="G3" s="185"/>
      <c r="H3" s="47" t="s">
        <v>122</v>
      </c>
      <c r="I3" s="47" t="s">
        <v>10</v>
      </c>
      <c r="J3" s="47" t="s">
        <v>29</v>
      </c>
      <c r="K3" s="47" t="s">
        <v>122</v>
      </c>
      <c r="L3" s="47" t="s">
        <v>30</v>
      </c>
      <c r="M3" s="185"/>
      <c r="N3" s="185"/>
      <c r="O3" s="185"/>
      <c r="P3" s="122" t="s">
        <v>118</v>
      </c>
      <c r="Q3" s="122" t="s">
        <v>121</v>
      </c>
      <c r="R3" s="122" t="s">
        <v>132</v>
      </c>
    </row>
    <row r="4" spans="1:18" ht="18.75">
      <c r="A4" s="35" t="s">
        <v>21</v>
      </c>
      <c r="B4" s="36"/>
      <c r="C4" s="56">
        <f aca="true" t="shared" si="0" ref="C4:H4">C5+C9+C14+C20+C21+C22</f>
        <v>67520.9</v>
      </c>
      <c r="D4" s="56">
        <f t="shared" si="0"/>
        <v>134.6</v>
      </c>
      <c r="E4" s="56">
        <f t="shared" si="0"/>
        <v>67655.5</v>
      </c>
      <c r="F4" s="56">
        <f t="shared" si="0"/>
        <v>28287.7</v>
      </c>
      <c r="G4" s="56">
        <f t="shared" si="0"/>
        <v>39229.2</v>
      </c>
      <c r="H4" s="56">
        <f t="shared" si="0"/>
        <v>45159.69999999999</v>
      </c>
      <c r="I4" s="57">
        <f>IF(E4&gt;0,H4/E4,0)</f>
        <v>0.6674948821603564</v>
      </c>
      <c r="J4" s="57">
        <f>IF(F4&gt;0,H4/F4,0)</f>
        <v>1.5964429769829285</v>
      </c>
      <c r="K4" s="56">
        <f>K5+K9+K14+K20+K21+K22</f>
        <v>34439.5</v>
      </c>
      <c r="L4" s="57">
        <f aca="true" t="shared" si="1" ref="L4:L50">IF(K4&gt;0,H4/K4,0)</f>
        <v>1.311276296113474</v>
      </c>
      <c r="M4" s="56">
        <f>M5+M9+M14+M20+M21+M22</f>
        <v>5930.5</v>
      </c>
      <c r="N4" s="56">
        <f>N5+N9+N14+N20+N21+N22</f>
        <v>3252.2999999999997</v>
      </c>
      <c r="O4" s="57">
        <f aca="true" t="shared" si="2" ref="O4:O50">IF(N4&gt;0,M4/N4,0)</f>
        <v>1.8234787688712606</v>
      </c>
      <c r="P4" s="56">
        <f>P5+P9+P14+P20+P21+P22</f>
        <v>177.20000000000002</v>
      </c>
      <c r="Q4" s="56">
        <f>Q5+Q9+Q14+Q20+Q21+Q22</f>
        <v>16094.099999999999</v>
      </c>
      <c r="R4" s="56">
        <f>R5+R9+R14+R20+R21+R22</f>
        <v>1141.1000000000001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16129.4</v>
      </c>
      <c r="D5" s="58">
        <f t="shared" si="3"/>
        <v>0</v>
      </c>
      <c r="E5" s="58">
        <f t="shared" si="3"/>
        <v>16129.4</v>
      </c>
      <c r="F5" s="58">
        <f t="shared" si="3"/>
        <v>9897.800000000001</v>
      </c>
      <c r="G5" s="58">
        <f t="shared" si="3"/>
        <v>6091.7</v>
      </c>
      <c r="H5" s="58">
        <f t="shared" si="3"/>
        <v>7569.2</v>
      </c>
      <c r="I5" s="59">
        <f>IF(E5&gt;0,H5/E5,0)</f>
        <v>0.46927970042283035</v>
      </c>
      <c r="J5" s="59">
        <f>IF(F5&gt;0,H5/F5,0)</f>
        <v>0.7647355978096142</v>
      </c>
      <c r="K5" s="58">
        <f>SUM(K6:K8)</f>
        <v>7341.200000000001</v>
      </c>
      <c r="L5" s="59">
        <f t="shared" si="1"/>
        <v>1.0310575927641257</v>
      </c>
      <c r="M5" s="58">
        <f>SUM(M6:M8)</f>
        <v>1477.4999999999998</v>
      </c>
      <c r="N5" s="58">
        <f>SUM(N6:N8)</f>
        <v>1197.7</v>
      </c>
      <c r="O5" s="59">
        <f t="shared" si="2"/>
        <v>1.2336144276530014</v>
      </c>
      <c r="P5" s="58">
        <f>SUM(P6:P8)</f>
        <v>26.8</v>
      </c>
      <c r="Q5" s="58">
        <f>SUM(Q6:Q8)</f>
        <v>67.9</v>
      </c>
      <c r="R5" s="58">
        <f>SUM(R6:R8)</f>
        <v>25.5</v>
      </c>
    </row>
    <row r="6" spans="1:19" ht="18.75" customHeight="1">
      <c r="A6" s="40" t="s">
        <v>40</v>
      </c>
      <c r="B6" s="8">
        <v>1010201001</v>
      </c>
      <c r="C6" s="60">
        <v>16051.4</v>
      </c>
      <c r="D6" s="61"/>
      <c r="E6" s="61">
        <f>C6+D6</f>
        <v>16051.4</v>
      </c>
      <c r="F6" s="61">
        <f>2700+346+3300+3328.7+150</f>
        <v>9824.7</v>
      </c>
      <c r="G6" s="61">
        <v>5991.7</v>
      </c>
      <c r="H6" s="61">
        <f>G6+M6</f>
        <v>7425.799999999999</v>
      </c>
      <c r="I6" s="62">
        <f aca="true" t="shared" si="4" ref="I6:I50">IF(E6&gt;0,H6/E6,0)</f>
        <v>0.4626263129695852</v>
      </c>
      <c r="J6" s="62">
        <f aca="true" t="shared" si="5" ref="J6:J50">IF(F6&gt;0,H6/F6,0)</f>
        <v>0.7558296945453804</v>
      </c>
      <c r="K6" s="61">
        <v>7293</v>
      </c>
      <c r="L6" s="62">
        <f t="shared" si="1"/>
        <v>1.0182092417386535</v>
      </c>
      <c r="M6" s="61">
        <v>1434.1</v>
      </c>
      <c r="N6" s="61">
        <v>1196.8</v>
      </c>
      <c r="O6" s="62">
        <f t="shared" si="2"/>
        <v>1.198278743315508</v>
      </c>
      <c r="P6" s="61">
        <v>21.3</v>
      </c>
      <c r="Q6" s="61">
        <v>65.5</v>
      </c>
      <c r="R6" s="61">
        <v>23.2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/>
      <c r="E7" s="61">
        <f aca="true" t="shared" si="6" ref="E7:E22">C7+D7</f>
        <v>36</v>
      </c>
      <c r="F7" s="61">
        <f>26.1</f>
        <v>26.1</v>
      </c>
      <c r="G7" s="61">
        <v>28.7</v>
      </c>
      <c r="H7" s="61">
        <f>G7+M7</f>
        <v>39.8</v>
      </c>
      <c r="I7" s="62">
        <f t="shared" si="4"/>
        <v>1.1055555555555554</v>
      </c>
      <c r="J7" s="62">
        <f t="shared" si="5"/>
        <v>1.5249042145593867</v>
      </c>
      <c r="K7" s="61">
        <v>20.1</v>
      </c>
      <c r="L7" s="62">
        <f t="shared" si="1"/>
        <v>1.9800995024875618</v>
      </c>
      <c r="M7" s="61">
        <v>11.1</v>
      </c>
      <c r="N7" s="61"/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42</v>
      </c>
      <c r="D8" s="61"/>
      <c r="E8" s="61">
        <f t="shared" si="6"/>
        <v>42</v>
      </c>
      <c r="F8" s="61">
        <f>2+45</f>
        <v>47</v>
      </c>
      <c r="G8" s="61">
        <v>71.3</v>
      </c>
      <c r="H8" s="61">
        <f>G8+M8</f>
        <v>103.6</v>
      </c>
      <c r="I8" s="62">
        <f t="shared" si="4"/>
        <v>2.4666666666666663</v>
      </c>
      <c r="J8" s="62">
        <f t="shared" si="5"/>
        <v>2.204255319148936</v>
      </c>
      <c r="K8" s="61">
        <v>28.1</v>
      </c>
      <c r="L8" s="62">
        <f t="shared" si="1"/>
        <v>3.686832740213523</v>
      </c>
      <c r="M8" s="61">
        <v>32.3</v>
      </c>
      <c r="N8" s="61">
        <v>0.9</v>
      </c>
      <c r="O8" s="62">
        <f t="shared" si="2"/>
        <v>35.888888888888886</v>
      </c>
      <c r="P8" s="61">
        <v>5.5</v>
      </c>
      <c r="Q8" s="61">
        <v>2.4</v>
      </c>
      <c r="R8" s="61">
        <v>2.3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8781.5</v>
      </c>
      <c r="D9" s="58">
        <f t="shared" si="7"/>
        <v>0</v>
      </c>
      <c r="E9" s="58">
        <f t="shared" si="7"/>
        <v>8781.5</v>
      </c>
      <c r="F9" s="58">
        <f>925+200+490+1350+1800</f>
        <v>4765</v>
      </c>
      <c r="G9" s="58">
        <f>SUM(G10:G13)</f>
        <v>3923.000000000001</v>
      </c>
      <c r="H9" s="58">
        <f t="shared" si="7"/>
        <v>4754.900000000001</v>
      </c>
      <c r="I9" s="59">
        <f t="shared" si="4"/>
        <v>0.5414678585663042</v>
      </c>
      <c r="J9" s="59">
        <f t="shared" si="5"/>
        <v>0.9978803777544597</v>
      </c>
      <c r="K9" s="58">
        <f>SUM(K10:K13)</f>
        <v>3921.6000000000004</v>
      </c>
      <c r="L9" s="59">
        <f t="shared" si="1"/>
        <v>1.2124898000815993</v>
      </c>
      <c r="M9" s="58">
        <f>SUM(M10:M13)</f>
        <v>831.9</v>
      </c>
      <c r="N9" s="58">
        <f>SUM(N10:N13)</f>
        <v>667.6000000000001</v>
      </c>
      <c r="O9" s="59">
        <f t="shared" si="2"/>
        <v>1.2461054523666864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3970.4</v>
      </c>
      <c r="D10" s="61"/>
      <c r="E10" s="61">
        <f t="shared" si="6"/>
        <v>3970.4</v>
      </c>
      <c r="F10" s="61"/>
      <c r="G10" s="61">
        <v>1920.9</v>
      </c>
      <c r="H10" s="61">
        <f>G10+M10</f>
        <v>2340.5</v>
      </c>
      <c r="I10" s="62">
        <f t="shared" si="4"/>
        <v>0.5894872053193633</v>
      </c>
      <c r="J10" s="62">
        <f t="shared" si="5"/>
        <v>0</v>
      </c>
      <c r="K10" s="61">
        <v>1773.3</v>
      </c>
      <c r="L10" s="62">
        <f t="shared" si="1"/>
        <v>1.3198556363841425</v>
      </c>
      <c r="M10" s="61">
        <v>419.6</v>
      </c>
      <c r="N10" s="61">
        <v>298.6</v>
      </c>
      <c r="O10" s="62">
        <f t="shared" si="2"/>
        <v>1.405224380442063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22</v>
      </c>
      <c r="D11" s="61"/>
      <c r="E11" s="61">
        <f t="shared" si="6"/>
        <v>22</v>
      </c>
      <c r="F11" s="61"/>
      <c r="G11" s="61">
        <v>11.9</v>
      </c>
      <c r="H11" s="61">
        <f>G11+M11</f>
        <v>13.8</v>
      </c>
      <c r="I11" s="62">
        <f t="shared" si="4"/>
        <v>0.6272727272727273</v>
      </c>
      <c r="J11" s="62">
        <f t="shared" si="5"/>
        <v>0</v>
      </c>
      <c r="K11" s="61">
        <v>13.4</v>
      </c>
      <c r="L11" s="62">
        <f t="shared" si="1"/>
        <v>1.0298507462686568</v>
      </c>
      <c r="M11" s="61">
        <v>1.9</v>
      </c>
      <c r="N11" s="61">
        <v>2.3</v>
      </c>
      <c r="O11" s="62">
        <f t="shared" si="2"/>
        <v>0.8260869565217391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5287</v>
      </c>
      <c r="D12" s="61"/>
      <c r="E12" s="61">
        <f t="shared" si="6"/>
        <v>5287</v>
      </c>
      <c r="F12" s="61"/>
      <c r="G12" s="61">
        <v>2225.9</v>
      </c>
      <c r="H12" s="61">
        <f>G12+M12</f>
        <v>2696</v>
      </c>
      <c r="I12" s="62">
        <f t="shared" si="4"/>
        <v>0.5099300170228863</v>
      </c>
      <c r="J12" s="62">
        <f t="shared" si="5"/>
        <v>0</v>
      </c>
      <c r="K12" s="61">
        <v>2465.9</v>
      </c>
      <c r="L12" s="62">
        <f t="shared" si="1"/>
        <v>1.0933127864065857</v>
      </c>
      <c r="M12" s="61">
        <v>470.1</v>
      </c>
      <c r="N12" s="61">
        <v>441</v>
      </c>
      <c r="O12" s="62">
        <f t="shared" si="2"/>
        <v>1.0659863945578232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-497.9</v>
      </c>
      <c r="D13" s="61"/>
      <c r="E13" s="61">
        <f t="shared" si="6"/>
        <v>-497.9</v>
      </c>
      <c r="F13" s="61"/>
      <c r="G13" s="61">
        <v>-235.7</v>
      </c>
      <c r="H13" s="61">
        <f>G13+M13</f>
        <v>-295.4</v>
      </c>
      <c r="I13" s="62">
        <f>H13/E13</f>
        <v>0.5932918256678048</v>
      </c>
      <c r="J13" s="62">
        <f t="shared" si="5"/>
        <v>0</v>
      </c>
      <c r="K13" s="61">
        <v>-331</v>
      </c>
      <c r="L13" s="62">
        <f t="shared" si="1"/>
        <v>0</v>
      </c>
      <c r="M13" s="61">
        <v>-59.7</v>
      </c>
      <c r="N13" s="61">
        <v>-74.3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35550</v>
      </c>
      <c r="D14" s="58">
        <f t="shared" si="8"/>
        <v>134.6</v>
      </c>
      <c r="E14" s="58">
        <f t="shared" si="8"/>
        <v>35684.6</v>
      </c>
      <c r="F14" s="58">
        <f t="shared" si="8"/>
        <v>11352.9</v>
      </c>
      <c r="G14" s="58">
        <f>G15+G16+G17+G18+G19</f>
        <v>25452.5</v>
      </c>
      <c r="H14" s="58">
        <f t="shared" si="8"/>
        <v>27144.899999999994</v>
      </c>
      <c r="I14" s="59">
        <f t="shared" si="4"/>
        <v>0.760689485100015</v>
      </c>
      <c r="J14" s="59">
        <f t="shared" si="5"/>
        <v>2.391010226461961</v>
      </c>
      <c r="K14" s="58">
        <f>K15+K16+K17+K18+K19</f>
        <v>19707.2</v>
      </c>
      <c r="L14" s="59">
        <f t="shared" si="1"/>
        <v>1.3774102865957616</v>
      </c>
      <c r="M14" s="58">
        <f>M15+M16+M17+M18+M19</f>
        <v>1692.4</v>
      </c>
      <c r="N14" s="58">
        <f>N15+N16+N17+N18+N19</f>
        <v>1326.3999999999999</v>
      </c>
      <c r="O14" s="59">
        <f t="shared" si="2"/>
        <v>1.2759348612786492</v>
      </c>
      <c r="P14" s="58">
        <f>SUM(P15:P19)</f>
        <v>150.4</v>
      </c>
      <c r="Q14" s="58">
        <f>SUM(Q15:Q19)</f>
        <v>16026.099999999999</v>
      </c>
      <c r="R14" s="58">
        <f>SUM(R15:R19)</f>
        <v>1115.6000000000001</v>
      </c>
      <c r="S14" s="26"/>
    </row>
    <row r="15" spans="1:19" ht="18.75">
      <c r="A15" s="40" t="s">
        <v>53</v>
      </c>
      <c r="B15" s="8">
        <v>1050101001</v>
      </c>
      <c r="C15" s="60">
        <v>28100</v>
      </c>
      <c r="D15" s="61"/>
      <c r="E15" s="61">
        <f t="shared" si="6"/>
        <v>28100</v>
      </c>
      <c r="F15" s="61">
        <f>1100+1131+3100+350+1370</f>
        <v>7051</v>
      </c>
      <c r="G15" s="61">
        <v>19848.5</v>
      </c>
      <c r="H15" s="61">
        <f aca="true" t="shared" si="9" ref="H15:H22">G15+M15</f>
        <v>20822.6</v>
      </c>
      <c r="I15" s="62">
        <f t="shared" si="4"/>
        <v>0.741017793594306</v>
      </c>
      <c r="J15" s="62">
        <f t="shared" si="5"/>
        <v>2.9531413983832078</v>
      </c>
      <c r="K15" s="61">
        <v>13572.5</v>
      </c>
      <c r="L15" s="62">
        <f t="shared" si="1"/>
        <v>1.5341757229692392</v>
      </c>
      <c r="M15" s="61">
        <v>974.1</v>
      </c>
      <c r="N15" s="61">
        <v>1150.6</v>
      </c>
      <c r="O15" s="62">
        <f t="shared" si="2"/>
        <v>0.8466017729880063</v>
      </c>
      <c r="P15" s="61">
        <v>146</v>
      </c>
      <c r="Q15" s="61">
        <v>15463.8</v>
      </c>
      <c r="R15" s="61">
        <v>1071.7</v>
      </c>
      <c r="S15" s="26"/>
    </row>
    <row r="16" spans="1:21" ht="18.75">
      <c r="A16" s="40" t="s">
        <v>54</v>
      </c>
      <c r="B16" s="8">
        <v>1050102001</v>
      </c>
      <c r="C16" s="60">
        <v>6000</v>
      </c>
      <c r="D16" s="61"/>
      <c r="E16" s="61">
        <f t="shared" si="6"/>
        <v>6000</v>
      </c>
      <c r="F16" s="61">
        <f>100+159+500+350+400</f>
        <v>1509</v>
      </c>
      <c r="G16" s="61">
        <v>4572.9</v>
      </c>
      <c r="H16" s="61">
        <f t="shared" si="9"/>
        <v>5250.799999999999</v>
      </c>
      <c r="I16" s="62">
        <f t="shared" si="4"/>
        <v>0.8751333333333332</v>
      </c>
      <c r="J16" s="62">
        <f t="shared" si="5"/>
        <v>3.4796554009277663</v>
      </c>
      <c r="K16" s="61">
        <v>3908.2</v>
      </c>
      <c r="L16" s="62">
        <f t="shared" si="1"/>
        <v>1.3435341077733993</v>
      </c>
      <c r="M16" s="61">
        <v>677.9</v>
      </c>
      <c r="N16" s="61">
        <v>24.6</v>
      </c>
      <c r="O16" s="62">
        <f t="shared" si="2"/>
        <v>27.55691056910569</v>
      </c>
      <c r="P16" s="61">
        <v>2.3</v>
      </c>
      <c r="Q16" s="61">
        <v>534.3</v>
      </c>
      <c r="R16" s="61">
        <v>15.9</v>
      </c>
      <c r="S16" s="26"/>
      <c r="U16" s="165"/>
    </row>
    <row r="17" spans="1:20" ht="18.75">
      <c r="A17" s="40" t="s">
        <v>0</v>
      </c>
      <c r="B17" s="8">
        <v>1050200002</v>
      </c>
      <c r="C17" s="60"/>
      <c r="D17" s="61"/>
      <c r="E17" s="61">
        <f t="shared" si="6"/>
        <v>0</v>
      </c>
      <c r="F17" s="61">
        <f>1000+126+65+1480-30</f>
        <v>2641</v>
      </c>
      <c r="G17" s="61">
        <v>-13.2</v>
      </c>
      <c r="H17" s="61">
        <f t="shared" si="9"/>
        <v>-13.2</v>
      </c>
      <c r="I17" s="62">
        <f t="shared" si="4"/>
        <v>0</v>
      </c>
      <c r="J17" s="62">
        <f t="shared" si="5"/>
        <v>-0.004998106777735706</v>
      </c>
      <c r="K17" s="61">
        <v>1320.7</v>
      </c>
      <c r="L17" s="62">
        <f t="shared" si="1"/>
        <v>-0.009994699780419473</v>
      </c>
      <c r="M17" s="61"/>
      <c r="N17" s="61">
        <v>6.5</v>
      </c>
      <c r="O17" s="62">
        <f t="shared" si="2"/>
        <v>0</v>
      </c>
      <c r="P17" s="61">
        <v>2.1</v>
      </c>
      <c r="Q17" s="61"/>
      <c r="R17" s="61"/>
      <c r="S17" s="26"/>
      <c r="T17" s="157"/>
    </row>
    <row r="18" spans="1:19" ht="18.75">
      <c r="A18" s="40" t="s">
        <v>7</v>
      </c>
      <c r="B18" s="8">
        <v>1050300001</v>
      </c>
      <c r="C18" s="60">
        <v>210</v>
      </c>
      <c r="D18" s="61">
        <f>134.6</f>
        <v>134.6</v>
      </c>
      <c r="E18" s="61">
        <f t="shared" si="6"/>
        <v>344.6</v>
      </c>
      <c r="F18" s="61">
        <f>5.4+5.6+52</f>
        <v>63</v>
      </c>
      <c r="G18" s="61">
        <v>344.6</v>
      </c>
      <c r="H18" s="61">
        <f t="shared" si="9"/>
        <v>344.6</v>
      </c>
      <c r="I18" s="62">
        <f t="shared" si="4"/>
        <v>1</v>
      </c>
      <c r="J18" s="62">
        <f t="shared" si="5"/>
        <v>5.46984126984127</v>
      </c>
      <c r="K18" s="61">
        <v>32.5</v>
      </c>
      <c r="L18" s="62">
        <f t="shared" si="1"/>
        <v>10.603076923076923</v>
      </c>
      <c r="M18" s="61"/>
      <c r="N18" s="61"/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1240</v>
      </c>
      <c r="D19" s="61"/>
      <c r="E19" s="61">
        <f t="shared" si="6"/>
        <v>1240</v>
      </c>
      <c r="F19" s="61">
        <f>50+15+2.9+21</f>
        <v>88.9</v>
      </c>
      <c r="G19" s="61">
        <v>699.7</v>
      </c>
      <c r="H19" s="61">
        <f t="shared" si="9"/>
        <v>740.1</v>
      </c>
      <c r="I19" s="62">
        <f t="shared" si="4"/>
        <v>0.5968548387096775</v>
      </c>
      <c r="J19" s="62">
        <f t="shared" si="5"/>
        <v>8.325084364454442</v>
      </c>
      <c r="K19" s="61">
        <v>873.3</v>
      </c>
      <c r="L19" s="62">
        <f t="shared" si="1"/>
        <v>0.8474750944692546</v>
      </c>
      <c r="M19" s="61">
        <v>40.4</v>
      </c>
      <c r="N19" s="61">
        <v>144.7</v>
      </c>
      <c r="O19" s="62">
        <f t="shared" si="2"/>
        <v>0.2791983413959917</v>
      </c>
      <c r="P19" s="61"/>
      <c r="Q19" s="61">
        <v>28</v>
      </c>
      <c r="R19" s="61">
        <v>28</v>
      </c>
      <c r="S19" s="26"/>
    </row>
    <row r="20" spans="1:19" ht="16.5" customHeight="1">
      <c r="A20" s="37" t="s">
        <v>57</v>
      </c>
      <c r="B20" s="38">
        <v>1060201002</v>
      </c>
      <c r="C20" s="58">
        <v>6350</v>
      </c>
      <c r="D20" s="63"/>
      <c r="E20" s="63">
        <f t="shared" si="6"/>
        <v>6350</v>
      </c>
      <c r="F20" s="63">
        <f>300+93+770+670+150</f>
        <v>1983</v>
      </c>
      <c r="G20" s="63">
        <v>3373.8</v>
      </c>
      <c r="H20" s="63">
        <f t="shared" si="9"/>
        <v>3492</v>
      </c>
      <c r="I20" s="59">
        <f t="shared" si="4"/>
        <v>0.5499212598425197</v>
      </c>
      <c r="J20" s="59">
        <f t="shared" si="5"/>
        <v>1.7609682299546143</v>
      </c>
      <c r="K20" s="63">
        <v>3179.9</v>
      </c>
      <c r="L20" s="59">
        <f t="shared" si="1"/>
        <v>1.098147740494984</v>
      </c>
      <c r="M20" s="63">
        <v>118.2</v>
      </c>
      <c r="N20" s="63"/>
      <c r="O20" s="59">
        <f t="shared" si="2"/>
        <v>0</v>
      </c>
      <c r="P20" s="63"/>
      <c r="Q20" s="63">
        <v>0.1</v>
      </c>
      <c r="R20" s="63"/>
      <c r="S20" s="26"/>
    </row>
    <row r="21" spans="1:19" ht="18" customHeight="1">
      <c r="A21" s="37" t="s">
        <v>64</v>
      </c>
      <c r="B21" s="38">
        <v>1080000000</v>
      </c>
      <c r="C21" s="58">
        <v>710</v>
      </c>
      <c r="D21" s="63"/>
      <c r="E21" s="63">
        <f t="shared" si="6"/>
        <v>710</v>
      </c>
      <c r="F21" s="63">
        <f>75+34+90+90</f>
        <v>289</v>
      </c>
      <c r="G21" s="63">
        <v>388.2</v>
      </c>
      <c r="H21" s="63">
        <f t="shared" si="9"/>
        <v>2198.7</v>
      </c>
      <c r="I21" s="59">
        <f t="shared" si="4"/>
        <v>3.0967605633802813</v>
      </c>
      <c r="J21" s="59">
        <f t="shared" si="5"/>
        <v>7.6079584775086495</v>
      </c>
      <c r="K21" s="63">
        <v>289.6</v>
      </c>
      <c r="L21" s="59">
        <f t="shared" si="1"/>
        <v>7.592196132596684</v>
      </c>
      <c r="M21" s="63">
        <v>1810.5</v>
      </c>
      <c r="N21" s="63">
        <v>60.6</v>
      </c>
      <c r="O21" s="59">
        <f t="shared" si="2"/>
        <v>29.876237623762375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45935.145</v>
      </c>
      <c r="D23" s="56">
        <f t="shared" si="10"/>
        <v>10438.301000000001</v>
      </c>
      <c r="E23" s="56">
        <f t="shared" si="10"/>
        <v>56373.446</v>
      </c>
      <c r="F23" s="56">
        <f t="shared" si="10"/>
        <v>7948.7</v>
      </c>
      <c r="G23" s="136">
        <f>G24+G31+G32+G36+G39+G40</f>
        <v>5868.1</v>
      </c>
      <c r="H23" s="56">
        <f t="shared" si="10"/>
        <v>7001.2</v>
      </c>
      <c r="I23" s="57">
        <f t="shared" si="4"/>
        <v>0.12419322388061925</v>
      </c>
      <c r="J23" s="57">
        <f t="shared" si="5"/>
        <v>0.8807981179312341</v>
      </c>
      <c r="K23" s="136">
        <f>K24+K31+K32+K36+K39+K40</f>
        <v>6583.8</v>
      </c>
      <c r="L23" s="57">
        <f t="shared" si="1"/>
        <v>1.0633980376074608</v>
      </c>
      <c r="M23" s="136">
        <f>M24+M31+M32+M36+M39+M40</f>
        <v>1133.1</v>
      </c>
      <c r="N23" s="136">
        <f>N24+N31+N32+N36+N39+N40</f>
        <v>1168</v>
      </c>
      <c r="O23" s="57">
        <f t="shared" si="2"/>
        <v>0.9701198630136986</v>
      </c>
      <c r="P23" s="56">
        <f>P24+P31+P32+P36+P39+P40</f>
        <v>481.1</v>
      </c>
      <c r="Q23" s="56">
        <f>Q24+Q31+Q32+Q36+Q39+Q40</f>
        <v>604.5</v>
      </c>
      <c r="R23" s="56">
        <f>R24+R31+R32+R36+R39+R40</f>
        <v>323.3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2076.5</v>
      </c>
      <c r="D24" s="58">
        <f t="shared" si="11"/>
        <v>0</v>
      </c>
      <c r="E24" s="58">
        <f t="shared" si="11"/>
        <v>2076.5</v>
      </c>
      <c r="F24" s="58">
        <f t="shared" si="11"/>
        <v>2087.3</v>
      </c>
      <c r="G24" s="137">
        <f>SUM(G25:G30)</f>
        <v>1153.8</v>
      </c>
      <c r="H24" s="58">
        <f t="shared" si="11"/>
        <v>1646.9</v>
      </c>
      <c r="I24" s="59">
        <f t="shared" si="4"/>
        <v>0.7931134119913316</v>
      </c>
      <c r="J24" s="59">
        <f t="shared" si="5"/>
        <v>0.789009725482681</v>
      </c>
      <c r="K24" s="137">
        <f>SUM(K25:K30)</f>
        <v>1456.6000000000001</v>
      </c>
      <c r="L24" s="59">
        <f t="shared" si="1"/>
        <v>1.130646711519978</v>
      </c>
      <c r="M24" s="137">
        <f>SUM(M25:M30)</f>
        <v>493.1</v>
      </c>
      <c r="N24" s="137">
        <f>SUM(N25:N30)</f>
        <v>333.2</v>
      </c>
      <c r="O24" s="59">
        <f t="shared" si="2"/>
        <v>1.4798919567827131</v>
      </c>
      <c r="P24" s="58">
        <f>SUM(P25:P30)</f>
        <v>481.1</v>
      </c>
      <c r="Q24" s="58">
        <f>SUM(Q25:Q30)</f>
        <v>604.5</v>
      </c>
      <c r="R24" s="58">
        <f>SUM(R25:R30)</f>
        <v>323.3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1395</v>
      </c>
      <c r="D26" s="61"/>
      <c r="E26" s="61">
        <f t="shared" si="12"/>
        <v>1395</v>
      </c>
      <c r="F26" s="61">
        <f>60+420+420</f>
        <v>900</v>
      </c>
      <c r="G26" s="138">
        <v>851.7</v>
      </c>
      <c r="H26" s="61">
        <f t="shared" si="13"/>
        <v>981.1</v>
      </c>
      <c r="I26" s="62">
        <f t="shared" si="4"/>
        <v>0.7032974910394265</v>
      </c>
      <c r="J26" s="62">
        <f t="shared" si="5"/>
        <v>1.090111111111111</v>
      </c>
      <c r="K26" s="138">
        <v>559</v>
      </c>
      <c r="L26" s="62">
        <f t="shared" si="1"/>
        <v>1.7550983899821109</v>
      </c>
      <c r="M26" s="138">
        <v>129.4</v>
      </c>
      <c r="N26" s="138">
        <v>149.6</v>
      </c>
      <c r="O26" s="62">
        <f t="shared" si="2"/>
        <v>0.8649732620320856</v>
      </c>
      <c r="P26" s="183">
        <f>197.2+122.9</f>
        <v>320.1</v>
      </c>
      <c r="Q26" s="61">
        <f>117.9+172.6</f>
        <v>290.5</v>
      </c>
      <c r="R26" s="61">
        <f>83.4+239.9</f>
        <v>323.3</v>
      </c>
      <c r="S26" s="26"/>
    </row>
    <row r="27" spans="1:19" ht="18.75">
      <c r="A27" s="8" t="s">
        <v>59</v>
      </c>
      <c r="B27" s="8">
        <v>1110502505</v>
      </c>
      <c r="C27" s="60"/>
      <c r="D27" s="61"/>
      <c r="E27" s="61">
        <f t="shared" si="12"/>
        <v>0</v>
      </c>
      <c r="F27" s="61"/>
      <c r="G27" s="138">
        <v>-0.2</v>
      </c>
      <c r="H27" s="61">
        <f t="shared" si="13"/>
        <v>-0.2</v>
      </c>
      <c r="I27" s="62">
        <f t="shared" si="4"/>
        <v>0</v>
      </c>
      <c r="J27" s="62">
        <f t="shared" si="5"/>
        <v>0</v>
      </c>
      <c r="K27" s="138">
        <v>7.4</v>
      </c>
      <c r="L27" s="62">
        <f t="shared" si="1"/>
        <v>-0.02702702702702703</v>
      </c>
      <c r="M27" s="138"/>
      <c r="N27" s="138">
        <v>7.4</v>
      </c>
      <c r="O27" s="62">
        <f t="shared" si="2"/>
        <v>0</v>
      </c>
      <c r="P27" s="61"/>
      <c r="Q27" s="61"/>
      <c r="R27" s="61"/>
      <c r="S27" s="26"/>
    </row>
    <row r="28" spans="1:19" ht="18.75">
      <c r="A28" s="179" t="s">
        <v>60</v>
      </c>
      <c r="B28" s="8">
        <v>1110503505</v>
      </c>
      <c r="C28" s="60">
        <v>600</v>
      </c>
      <c r="D28" s="61"/>
      <c r="E28" s="61">
        <f t="shared" si="12"/>
        <v>600</v>
      </c>
      <c r="F28" s="61">
        <f>250+140+365+165.3+267</f>
        <v>1187.3</v>
      </c>
      <c r="G28" s="138">
        <v>237.3</v>
      </c>
      <c r="H28" s="61">
        <f t="shared" si="13"/>
        <v>284.5</v>
      </c>
      <c r="I28" s="62">
        <f t="shared" si="4"/>
        <v>0.4741666666666667</v>
      </c>
      <c r="J28" s="62">
        <f t="shared" si="5"/>
        <v>0.23961930430388276</v>
      </c>
      <c r="K28" s="138">
        <v>355</v>
      </c>
      <c r="L28" s="62">
        <f t="shared" si="1"/>
        <v>0.8014084507042254</v>
      </c>
      <c r="M28" s="138">
        <v>47.2</v>
      </c>
      <c r="N28" s="138">
        <v>66.2</v>
      </c>
      <c r="O28" s="62">
        <f t="shared" si="2"/>
        <v>0.7129909365558913</v>
      </c>
      <c r="P28" s="183">
        <v>161</v>
      </c>
      <c r="Q28" s="61">
        <v>314</v>
      </c>
      <c r="R28" s="61"/>
      <c r="S28" s="26"/>
    </row>
    <row r="29" spans="1:19" ht="18.75">
      <c r="A29" s="8" t="s">
        <v>112</v>
      </c>
      <c r="B29" s="178">
        <v>1110507505</v>
      </c>
      <c r="C29" s="60">
        <v>81.5</v>
      </c>
      <c r="D29" s="61"/>
      <c r="E29" s="61">
        <f t="shared" si="12"/>
        <v>81.5</v>
      </c>
      <c r="F29" s="61"/>
      <c r="G29" s="138">
        <v>60.7</v>
      </c>
      <c r="H29" s="61">
        <f t="shared" si="13"/>
        <v>375.5</v>
      </c>
      <c r="I29" s="62">
        <f t="shared" si="4"/>
        <v>4.607361963190184</v>
      </c>
      <c r="J29" s="62"/>
      <c r="K29" s="138">
        <v>533</v>
      </c>
      <c r="L29" s="62">
        <f t="shared" si="1"/>
        <v>0.7045028142589118</v>
      </c>
      <c r="M29" s="138">
        <v>314.8</v>
      </c>
      <c r="N29" s="138">
        <v>110</v>
      </c>
      <c r="O29" s="62">
        <f t="shared" si="2"/>
        <v>2.861818181818182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38">
        <v>4.3</v>
      </c>
      <c r="H30" s="61">
        <f t="shared" si="13"/>
        <v>6</v>
      </c>
      <c r="I30" s="62">
        <f t="shared" si="4"/>
        <v>0</v>
      </c>
      <c r="J30" s="62">
        <f t="shared" si="5"/>
        <v>0</v>
      </c>
      <c r="K30" s="138">
        <v>2.2</v>
      </c>
      <c r="L30" s="62">
        <f t="shared" si="1"/>
        <v>2.727272727272727</v>
      </c>
      <c r="M30" s="138">
        <v>1.7</v>
      </c>
      <c r="N30" s="138"/>
      <c r="O30" s="62">
        <f t="shared" si="2"/>
        <v>0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24.2</v>
      </c>
      <c r="D31" s="63"/>
      <c r="E31" s="63">
        <f t="shared" si="12"/>
        <v>24.2</v>
      </c>
      <c r="F31" s="63">
        <f>30+30+15</f>
        <v>75</v>
      </c>
      <c r="G31" s="139">
        <v>36.4</v>
      </c>
      <c r="H31" s="63">
        <f t="shared" si="13"/>
        <v>36.4</v>
      </c>
      <c r="I31" s="59">
        <f t="shared" si="4"/>
        <v>1.5041322314049586</v>
      </c>
      <c r="J31" s="59">
        <f t="shared" si="5"/>
        <v>0.48533333333333334</v>
      </c>
      <c r="K31" s="139">
        <v>22.2</v>
      </c>
      <c r="L31" s="59">
        <f t="shared" si="1"/>
        <v>1.6396396396396395</v>
      </c>
      <c r="M31" s="139"/>
      <c r="N31" s="139"/>
      <c r="O31" s="59">
        <f t="shared" si="2"/>
        <v>0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9070</v>
      </c>
      <c r="D32" s="58">
        <f t="shared" si="14"/>
        <v>300</v>
      </c>
      <c r="E32" s="58">
        <f t="shared" si="14"/>
        <v>9370</v>
      </c>
      <c r="F32" s="58">
        <f t="shared" si="14"/>
        <v>5703.4</v>
      </c>
      <c r="G32" s="137">
        <f>SUM(G33:G35)</f>
        <v>3223.1000000000004</v>
      </c>
      <c r="H32" s="58">
        <f t="shared" si="14"/>
        <v>3645.3000000000006</v>
      </c>
      <c r="I32" s="59">
        <f t="shared" si="4"/>
        <v>0.3890394877267877</v>
      </c>
      <c r="J32" s="59">
        <f t="shared" si="5"/>
        <v>0.6391450713609428</v>
      </c>
      <c r="K32" s="137">
        <f>SUM(K33:K35)</f>
        <v>3493.4000000000005</v>
      </c>
      <c r="L32" s="59">
        <f t="shared" si="1"/>
        <v>1.0434819946184233</v>
      </c>
      <c r="M32" s="137">
        <f>SUM(M33:M35)</f>
        <v>422.2</v>
      </c>
      <c r="N32" s="137">
        <f>SUM(N33:N35)</f>
        <v>503.99999999999994</v>
      </c>
      <c r="O32" s="59">
        <f t="shared" si="2"/>
        <v>0.8376984126984127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7890</v>
      </c>
      <c r="D33" s="61"/>
      <c r="E33" s="61">
        <f>C33+D33</f>
        <v>7890</v>
      </c>
      <c r="F33" s="61">
        <f>1963.4+1945+1295</f>
        <v>5203.4</v>
      </c>
      <c r="G33" s="138">
        <v>3026.3</v>
      </c>
      <c r="H33" s="61">
        <f>G33+M33</f>
        <v>3420.1000000000004</v>
      </c>
      <c r="I33" s="62">
        <f t="shared" si="4"/>
        <v>0.43347275031685684</v>
      </c>
      <c r="J33" s="62">
        <f t="shared" si="5"/>
        <v>0.6572817772994581</v>
      </c>
      <c r="K33" s="138">
        <v>3185.3</v>
      </c>
      <c r="L33" s="62">
        <f t="shared" si="1"/>
        <v>1.0737136219508367</v>
      </c>
      <c r="M33" s="138">
        <v>393.8</v>
      </c>
      <c r="N33" s="138">
        <v>432.2</v>
      </c>
      <c r="O33" s="62">
        <f t="shared" si="2"/>
        <v>0.9111522443313281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480</v>
      </c>
      <c r="D34" s="61"/>
      <c r="E34" s="61">
        <f>C34+D34</f>
        <v>480</v>
      </c>
      <c r="F34" s="61">
        <f>240+165+95</f>
        <v>500</v>
      </c>
      <c r="G34" s="138">
        <v>141.4</v>
      </c>
      <c r="H34" s="61">
        <f>G34+M34</f>
        <v>165.8</v>
      </c>
      <c r="I34" s="62">
        <f t="shared" si="4"/>
        <v>0.3454166666666667</v>
      </c>
      <c r="J34" s="62">
        <f t="shared" si="5"/>
        <v>0.3316</v>
      </c>
      <c r="K34" s="138">
        <v>278.3</v>
      </c>
      <c r="L34" s="62">
        <f t="shared" si="1"/>
        <v>0.5957599712540425</v>
      </c>
      <c r="M34" s="138">
        <v>24.4</v>
      </c>
      <c r="N34" s="138">
        <v>69.1</v>
      </c>
      <c r="O34" s="62">
        <f t="shared" si="2"/>
        <v>0.35311143270622286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>
        <v>700</v>
      </c>
      <c r="D35" s="61">
        <f>300</f>
        <v>300</v>
      </c>
      <c r="E35" s="61">
        <f>C35+D35</f>
        <v>1000</v>
      </c>
      <c r="F35" s="61"/>
      <c r="G35" s="138">
        <v>55.4</v>
      </c>
      <c r="H35" s="61">
        <f>G35+M35</f>
        <v>59.4</v>
      </c>
      <c r="I35" s="62">
        <f t="shared" si="4"/>
        <v>0.0594</v>
      </c>
      <c r="J35" s="62">
        <f t="shared" si="5"/>
        <v>0</v>
      </c>
      <c r="K35" s="138">
        <v>29.8</v>
      </c>
      <c r="L35" s="62">
        <f t="shared" si="1"/>
        <v>1.9932885906040267</v>
      </c>
      <c r="M35" s="138">
        <v>4</v>
      </c>
      <c r="N35" s="138">
        <v>2.7</v>
      </c>
      <c r="O35" s="62">
        <f t="shared" si="2"/>
        <v>1.4814814814814814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34120.065</v>
      </c>
      <c r="D36" s="58">
        <f t="shared" si="15"/>
        <v>10138.301000000001</v>
      </c>
      <c r="E36" s="58">
        <f t="shared" si="15"/>
        <v>44258.366</v>
      </c>
      <c r="F36" s="58">
        <f t="shared" si="15"/>
        <v>0</v>
      </c>
      <c r="G36" s="137">
        <f>G37+G38</f>
        <v>32.4</v>
      </c>
      <c r="H36" s="58">
        <f t="shared" si="15"/>
        <v>35.699999999999996</v>
      </c>
      <c r="I36" s="59">
        <f t="shared" si="4"/>
        <v>0.0008066271583546486</v>
      </c>
      <c r="J36" s="59">
        <f t="shared" si="5"/>
        <v>0</v>
      </c>
      <c r="K36" s="137">
        <f>K37+K38</f>
        <v>274.9</v>
      </c>
      <c r="L36" s="59">
        <f t="shared" si="1"/>
        <v>0.1298654056020371</v>
      </c>
      <c r="M36" s="137">
        <f>M37+M38</f>
        <v>3.3</v>
      </c>
      <c r="N36" s="137">
        <f>N37+N38</f>
        <v>0</v>
      </c>
      <c r="O36" s="59">
        <f>IF(N36&gt;0,M36/N36,0)</f>
        <v>0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1140205305</v>
      </c>
      <c r="C37" s="60">
        <v>34085.065</v>
      </c>
      <c r="D37" s="61">
        <f>-8638.599+18776.9</f>
        <v>10138.301000000001</v>
      </c>
      <c r="E37" s="61">
        <f>C37+D37</f>
        <v>44223.366</v>
      </c>
      <c r="F37" s="61"/>
      <c r="G37" s="138">
        <v>72.5</v>
      </c>
      <c r="H37" s="61">
        <f>G37+M37</f>
        <v>75.8</v>
      </c>
      <c r="I37" s="62">
        <f t="shared" si="4"/>
        <v>0.0017140260196385774</v>
      </c>
      <c r="J37" s="62">
        <f t="shared" si="5"/>
        <v>0</v>
      </c>
      <c r="K37" s="138">
        <v>171.3</v>
      </c>
      <c r="L37" s="62">
        <f t="shared" si="1"/>
        <v>0.4424985405720957</v>
      </c>
      <c r="M37" s="138">
        <v>3.3</v>
      </c>
      <c r="N37" s="138"/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35</v>
      </c>
      <c r="D38" s="61"/>
      <c r="E38" s="61">
        <f>C38+D38</f>
        <v>35</v>
      </c>
      <c r="F38" s="61"/>
      <c r="G38" s="138">
        <v>-40.1</v>
      </c>
      <c r="H38" s="61">
        <f>G38+M38</f>
        <v>-40.1</v>
      </c>
      <c r="I38" s="62">
        <f t="shared" si="4"/>
        <v>-1.1457142857142857</v>
      </c>
      <c r="J38" s="62">
        <f t="shared" si="5"/>
        <v>0</v>
      </c>
      <c r="K38" s="138">
        <v>103.6</v>
      </c>
      <c r="L38" s="62">
        <f t="shared" si="1"/>
        <v>-0.3870656370656371</v>
      </c>
      <c r="M38" s="138"/>
      <c r="N38" s="138"/>
      <c r="O38" s="62">
        <f t="shared" si="2"/>
        <v>0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45.1</v>
      </c>
      <c r="D39" s="63"/>
      <c r="E39" s="63">
        <f>C39+D39</f>
        <v>45.1</v>
      </c>
      <c r="F39" s="63">
        <f>38+45</f>
        <v>83</v>
      </c>
      <c r="G39" s="139">
        <v>741.1</v>
      </c>
      <c r="H39" s="63">
        <f>G39+M39</f>
        <v>945</v>
      </c>
      <c r="I39" s="59">
        <f t="shared" si="4"/>
        <v>20.953436807095343</v>
      </c>
      <c r="J39" s="59">
        <f t="shared" si="5"/>
        <v>11.385542168674698</v>
      </c>
      <c r="K39" s="139">
        <v>855.8</v>
      </c>
      <c r="L39" s="59">
        <f t="shared" si="1"/>
        <v>1.1042299602710914</v>
      </c>
      <c r="M39" s="139">
        <v>203.9</v>
      </c>
      <c r="N39" s="139">
        <v>330.1</v>
      </c>
      <c r="O39" s="59">
        <f t="shared" si="2"/>
        <v>0.6176916086034535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SUM(C41:C43)</f>
        <v>599.28</v>
      </c>
      <c r="D40" s="58">
        <f t="shared" si="16"/>
        <v>0</v>
      </c>
      <c r="E40" s="58">
        <f t="shared" si="16"/>
        <v>599.28</v>
      </c>
      <c r="F40" s="58">
        <f t="shared" si="16"/>
        <v>0</v>
      </c>
      <c r="G40" s="58">
        <f>SUM(G41:G43)</f>
        <v>681.3</v>
      </c>
      <c r="H40" s="58">
        <f t="shared" si="16"/>
        <v>691.9</v>
      </c>
      <c r="I40" s="59">
        <f t="shared" si="4"/>
        <v>1.1545521292217327</v>
      </c>
      <c r="J40" s="59">
        <f t="shared" si="5"/>
        <v>0</v>
      </c>
      <c r="K40" s="58">
        <f>SUM(K41:K43)</f>
        <v>480.90000000000003</v>
      </c>
      <c r="L40" s="59">
        <f t="shared" si="1"/>
        <v>1.4387606571012683</v>
      </c>
      <c r="M40" s="58">
        <f>SUM(M41:M43)</f>
        <v>10.6</v>
      </c>
      <c r="N40" s="58">
        <f>SUM(N41:N43)</f>
        <v>0.7</v>
      </c>
      <c r="O40" s="59">
        <f t="shared" si="2"/>
        <v>15.142857142857144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3.4</v>
      </c>
      <c r="H41" s="61">
        <f>G41+M41</f>
        <v>4</v>
      </c>
      <c r="I41" s="62">
        <f t="shared" si="4"/>
        <v>0</v>
      </c>
      <c r="J41" s="62">
        <f t="shared" si="5"/>
        <v>0</v>
      </c>
      <c r="K41" s="138">
        <v>0.1</v>
      </c>
      <c r="L41" s="62">
        <f t="shared" si="1"/>
        <v>40</v>
      </c>
      <c r="M41" s="138">
        <v>0.6</v>
      </c>
      <c r="N41" s="138"/>
      <c r="O41" s="62">
        <f t="shared" si="2"/>
        <v>0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>
        <v>0.1</v>
      </c>
      <c r="H42" s="61">
        <f>G42+M42</f>
        <v>0.1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19" ht="18.75">
      <c r="A43" s="45" t="s">
        <v>119</v>
      </c>
      <c r="B43" s="180">
        <v>1171503005</v>
      </c>
      <c r="C43" s="60">
        <v>599.28</v>
      </c>
      <c r="D43" s="61"/>
      <c r="E43" s="61">
        <f>C43+D43</f>
        <v>599.28</v>
      </c>
      <c r="F43" s="61"/>
      <c r="G43" s="138">
        <v>677.8</v>
      </c>
      <c r="H43" s="61">
        <f>G43+M43</f>
        <v>687.8</v>
      </c>
      <c r="I43" s="62">
        <f t="shared" si="4"/>
        <v>1.1477105860365773</v>
      </c>
      <c r="J43" s="62"/>
      <c r="K43" s="138">
        <v>480.8</v>
      </c>
      <c r="L43" s="62">
        <f t="shared" si="1"/>
        <v>1.4305324459234607</v>
      </c>
      <c r="M43" s="138">
        <v>10</v>
      </c>
      <c r="N43" s="138">
        <v>0.7</v>
      </c>
      <c r="O43" s="62">
        <f t="shared" si="2"/>
        <v>14.285714285714286</v>
      </c>
      <c r="P43" s="61"/>
      <c r="Q43" s="61"/>
      <c r="R43" s="61"/>
      <c r="S43" s="26"/>
    </row>
    <row r="44" spans="1:20" ht="18.75" customHeight="1">
      <c r="A44" s="43" t="s">
        <v>89</v>
      </c>
      <c r="B44" s="43">
        <v>1000000000</v>
      </c>
      <c r="C44" s="56">
        <f aca="true" t="shared" si="17" ref="C44:H44">C4+C23</f>
        <v>113456.04499999998</v>
      </c>
      <c r="D44" s="56">
        <f t="shared" si="17"/>
        <v>10572.901000000002</v>
      </c>
      <c r="E44" s="56">
        <f t="shared" si="17"/>
        <v>124028.946</v>
      </c>
      <c r="F44" s="56">
        <f t="shared" si="17"/>
        <v>36236.4</v>
      </c>
      <c r="G44" s="56">
        <f>G4+G23</f>
        <v>45097.299999999996</v>
      </c>
      <c r="H44" s="121">
        <f t="shared" si="17"/>
        <v>52160.89999999999</v>
      </c>
      <c r="I44" s="57">
        <f t="shared" si="4"/>
        <v>0.4205542470706797</v>
      </c>
      <c r="J44" s="57">
        <f t="shared" si="5"/>
        <v>1.439461425527922</v>
      </c>
      <c r="K44" s="56">
        <f>K4+K23</f>
        <v>41023.3</v>
      </c>
      <c r="L44" s="57">
        <f t="shared" si="1"/>
        <v>1.2714944921544582</v>
      </c>
      <c r="M44" s="56">
        <f>M4+M23</f>
        <v>7063.6</v>
      </c>
      <c r="N44" s="56">
        <f>N4+N23</f>
        <v>4420.299999999999</v>
      </c>
      <c r="O44" s="57">
        <f t="shared" si="2"/>
        <v>1.5979910865778344</v>
      </c>
      <c r="P44" s="56">
        <f>P4+P23</f>
        <v>658.3000000000001</v>
      </c>
      <c r="Q44" s="56">
        <f>Q4+Q23</f>
        <v>16698.6</v>
      </c>
      <c r="R44" s="56">
        <f>R4+R23</f>
        <v>1464.4</v>
      </c>
      <c r="S44" s="160"/>
      <c r="T44" s="159"/>
    </row>
    <row r="45" spans="1:19" ht="18.75" customHeight="1">
      <c r="A45" s="43" t="s">
        <v>91</v>
      </c>
      <c r="B45" s="43"/>
      <c r="C45" s="56">
        <f>C44-C9-7800</f>
        <v>96874.54499999998</v>
      </c>
      <c r="D45" s="56">
        <f>D44-D9</f>
        <v>10572.901000000002</v>
      </c>
      <c r="E45" s="56">
        <f>C45+D45</f>
        <v>107447.44599999998</v>
      </c>
      <c r="F45" s="56">
        <f>F44-F9-1728.4-1750</f>
        <v>27993</v>
      </c>
      <c r="G45" s="56">
        <f>G44-G9-2987.8</f>
        <v>38186.49999999999</v>
      </c>
      <c r="H45" s="121">
        <f>G45+M45</f>
        <v>44033.99999999999</v>
      </c>
      <c r="I45" s="57">
        <f>IF(E45&gt;0,H45/E45,0)</f>
        <v>0.4098189546543526</v>
      </c>
      <c r="J45" s="57">
        <f>IF(F45&gt;0,H45/F45,0)</f>
        <v>1.5730361161718998</v>
      </c>
      <c r="K45" s="56">
        <f>K44-K9-3138.5</f>
        <v>33963.200000000004</v>
      </c>
      <c r="L45" s="57">
        <f t="shared" si="1"/>
        <v>1.2965209403118665</v>
      </c>
      <c r="M45" s="56">
        <f>M44-M9-384.2</f>
        <v>5847.500000000001</v>
      </c>
      <c r="N45" s="56">
        <f>N44-N9-424.1</f>
        <v>3328.599999999999</v>
      </c>
      <c r="O45" s="57">
        <f t="shared" si="2"/>
        <v>1.7567445772997665</v>
      </c>
      <c r="P45" s="56"/>
      <c r="Q45" s="56"/>
      <c r="R45" s="56"/>
      <c r="S45" s="168"/>
    </row>
    <row r="46" spans="1:19" ht="18.75">
      <c r="A46" s="8" t="s">
        <v>36</v>
      </c>
      <c r="B46" s="8">
        <v>2000000000</v>
      </c>
      <c r="C46" s="60">
        <v>348234.12</v>
      </c>
      <c r="D46" s="131">
        <f>34680.163+3700</f>
        <v>38380.163</v>
      </c>
      <c r="E46" s="131">
        <f>C46+D46</f>
        <v>386614.283</v>
      </c>
      <c r="F46" s="61">
        <f>34850.65+571.1+470.1+38803.34</f>
        <v>74695.19</v>
      </c>
      <c r="G46" s="61">
        <v>102235.8</v>
      </c>
      <c r="H46" s="61">
        <f>G46+M46</f>
        <v>123848.5</v>
      </c>
      <c r="I46" s="62">
        <f t="shared" si="4"/>
        <v>0.3203412430574894</v>
      </c>
      <c r="J46" s="62">
        <f t="shared" si="5"/>
        <v>1.658051877236004</v>
      </c>
      <c r="K46" s="61">
        <v>107066.2</v>
      </c>
      <c r="L46" s="62">
        <f t="shared" si="1"/>
        <v>1.1567469472158347</v>
      </c>
      <c r="M46" s="61">
        <v>21612.7</v>
      </c>
      <c r="N46" s="61">
        <v>23032.5</v>
      </c>
      <c r="O46" s="62">
        <f t="shared" si="2"/>
        <v>0.938356669922935</v>
      </c>
      <c r="P46" s="61"/>
      <c r="Q46" s="61"/>
      <c r="R46" s="61"/>
      <c r="S46" s="163"/>
    </row>
    <row r="47" spans="1:18" ht="18.75">
      <c r="A47" s="8" t="s">
        <v>114</v>
      </c>
      <c r="B47" s="46" t="s">
        <v>102</v>
      </c>
      <c r="C47" s="60">
        <v>1045.22</v>
      </c>
      <c r="D47" s="61">
        <f>-1045.22+1000</f>
        <v>-45.22000000000003</v>
      </c>
      <c r="E47" s="61">
        <f>C47+D47</f>
        <v>1000</v>
      </c>
      <c r="F47" s="61"/>
      <c r="G47" s="61">
        <v>1000</v>
      </c>
      <c r="H47" s="61">
        <f>G47+M47</f>
        <v>1000</v>
      </c>
      <c r="I47" s="62">
        <f t="shared" si="4"/>
        <v>1</v>
      </c>
      <c r="J47" s="62">
        <f t="shared" si="5"/>
        <v>0</v>
      </c>
      <c r="K47" s="61">
        <v>45</v>
      </c>
      <c r="L47" s="62">
        <f t="shared" si="1"/>
        <v>22.22222222222222</v>
      </c>
      <c r="M47" s="61"/>
      <c r="N47" s="61"/>
      <c r="O47" s="62">
        <f t="shared" si="2"/>
        <v>0</v>
      </c>
      <c r="P47" s="61"/>
      <c r="Q47" s="61"/>
      <c r="R47" s="61"/>
    </row>
    <row r="48" spans="1:18" ht="18.75">
      <c r="A48" s="8" t="s">
        <v>46</v>
      </c>
      <c r="B48" s="46" t="s">
        <v>37</v>
      </c>
      <c r="C48" s="60">
        <v>85.8</v>
      </c>
      <c r="D48" s="61"/>
      <c r="E48" s="61">
        <f>C48+D48</f>
        <v>85.8</v>
      </c>
      <c r="F48" s="61"/>
      <c r="G48" s="61">
        <v>12.6</v>
      </c>
      <c r="H48" s="61">
        <f>G48+M48</f>
        <v>15.3</v>
      </c>
      <c r="I48" s="62">
        <f t="shared" si="4"/>
        <v>0.17832167832167833</v>
      </c>
      <c r="J48" s="62"/>
      <c r="K48" s="61">
        <v>763.6</v>
      </c>
      <c r="L48" s="62">
        <f t="shared" si="1"/>
        <v>0.020036668412781563</v>
      </c>
      <c r="M48" s="61">
        <v>2.7</v>
      </c>
      <c r="N48" s="61">
        <v>750.5</v>
      </c>
      <c r="O48" s="62"/>
      <c r="P48" s="61"/>
      <c r="Q48" s="61"/>
      <c r="R48" s="61"/>
    </row>
    <row r="49" spans="1:18" ht="18.75">
      <c r="A49" s="8" t="s">
        <v>93</v>
      </c>
      <c r="B49" s="46" t="s">
        <v>109</v>
      </c>
      <c r="C49" s="60"/>
      <c r="D49" s="131">
        <v>-22.126</v>
      </c>
      <c r="E49" s="131">
        <f>C49+D49</f>
        <v>-22.126</v>
      </c>
      <c r="F49" s="61"/>
      <c r="G49" s="61">
        <v>-22.1</v>
      </c>
      <c r="H49" s="61">
        <f>G49+M49</f>
        <v>-22.1</v>
      </c>
      <c r="I49" s="62">
        <f t="shared" si="4"/>
        <v>0</v>
      </c>
      <c r="J49" s="62"/>
      <c r="K49" s="61">
        <v>-2.7</v>
      </c>
      <c r="L49" s="62">
        <f t="shared" si="1"/>
        <v>0</v>
      </c>
      <c r="M49" s="61"/>
      <c r="N49" s="61">
        <v>-2.7</v>
      </c>
      <c r="O49" s="62">
        <f t="shared" si="2"/>
        <v>0</v>
      </c>
      <c r="P49" s="61"/>
      <c r="Q49" s="61"/>
      <c r="R49" s="61"/>
    </row>
    <row r="50" spans="1:19" ht="18.75">
      <c r="A50" s="43" t="s">
        <v>2</v>
      </c>
      <c r="B50" s="43">
        <v>0</v>
      </c>
      <c r="C50" s="164">
        <f>C44+C46+C47+C48+C49</f>
        <v>462821.18499999994</v>
      </c>
      <c r="D50" s="164">
        <f>D44+D46+D47+D48+D49</f>
        <v>48885.718</v>
      </c>
      <c r="E50" s="164">
        <f>E44+E46+E47+E48+E49</f>
        <v>511706.903</v>
      </c>
      <c r="F50" s="121">
        <f>F44+F46+F47</f>
        <v>110931.59</v>
      </c>
      <c r="G50" s="121">
        <f>G44+G46+G47+G48+G49</f>
        <v>148323.6</v>
      </c>
      <c r="H50" s="121">
        <f>H44+H46+H47+H49+H48</f>
        <v>177002.59999999998</v>
      </c>
      <c r="I50" s="57">
        <f t="shared" si="4"/>
        <v>0.3459062188965623</v>
      </c>
      <c r="J50" s="57">
        <f t="shared" si="5"/>
        <v>1.5956013972214766</v>
      </c>
      <c r="K50" s="121">
        <f>K44+K46+K47+K49+K48</f>
        <v>148895.4</v>
      </c>
      <c r="L50" s="57">
        <f t="shared" si="1"/>
        <v>1.1887714462636185</v>
      </c>
      <c r="M50" s="121">
        <f>M44+M46+M47+M49+M48</f>
        <v>28679.000000000004</v>
      </c>
      <c r="N50" s="121">
        <f>N44+N46+N47+N49+N48</f>
        <v>28200.6</v>
      </c>
      <c r="O50" s="57">
        <f t="shared" si="2"/>
        <v>1.0169641780671335</v>
      </c>
      <c r="P50" s="56">
        <f>P44+P46+P47</f>
        <v>658.3000000000001</v>
      </c>
      <c r="Q50" s="56">
        <f>Q44+Q46+Q47</f>
        <v>16698.6</v>
      </c>
      <c r="R50" s="56">
        <f>R44+R46+R47</f>
        <v>1464.4</v>
      </c>
      <c r="S50" s="140"/>
    </row>
    <row r="51" spans="1:19" ht="19.5" customHeight="1">
      <c r="A51" s="3"/>
      <c r="B51" s="3"/>
      <c r="C51" s="3"/>
      <c r="S51" s="169"/>
    </row>
    <row r="52" spans="1:8" ht="20.25">
      <c r="A52" s="3"/>
      <c r="B52" s="3"/>
      <c r="C52" s="3"/>
      <c r="E52" s="140"/>
      <c r="G52" s="132"/>
      <c r="H52" s="140"/>
    </row>
    <row r="53" spans="1:3" ht="12.75">
      <c r="A53" s="3"/>
      <c r="B53" s="3"/>
      <c r="C53" s="3"/>
    </row>
    <row r="54" spans="1:8" ht="12.75">
      <c r="A54" s="3"/>
      <c r="B54" s="3"/>
      <c r="C54" s="3"/>
      <c r="H54" s="140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91" t="s">
        <v>11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50"/>
      <c r="P1" s="26"/>
      <c r="Q1" s="26"/>
      <c r="R1" s="26"/>
    </row>
    <row r="2" spans="1:18" ht="15.75">
      <c r="A2" s="26"/>
      <c r="B2" s="192" t="s">
        <v>127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 thickBot="1">
      <c r="A3" s="187" t="s">
        <v>3</v>
      </c>
      <c r="B3" s="189" t="s">
        <v>4</v>
      </c>
      <c r="C3" s="185" t="s">
        <v>115</v>
      </c>
      <c r="D3" s="185" t="s">
        <v>24</v>
      </c>
      <c r="E3" s="185" t="s">
        <v>116</v>
      </c>
      <c r="F3" s="185" t="s">
        <v>99</v>
      </c>
      <c r="G3" s="185" t="s">
        <v>120</v>
      </c>
      <c r="H3" s="185" t="s">
        <v>117</v>
      </c>
      <c r="I3" s="185"/>
      <c r="J3" s="185"/>
      <c r="K3" s="185" t="s">
        <v>113</v>
      </c>
      <c r="L3" s="185"/>
      <c r="M3" s="185" t="s">
        <v>123</v>
      </c>
      <c r="N3" s="185" t="s">
        <v>124</v>
      </c>
      <c r="O3" s="185" t="s">
        <v>30</v>
      </c>
      <c r="P3" s="185" t="s">
        <v>9</v>
      </c>
      <c r="Q3" s="185"/>
      <c r="R3" s="185"/>
    </row>
    <row r="4" spans="1:21" ht="111" customHeight="1" thickBot="1">
      <c r="A4" s="188"/>
      <c r="B4" s="190"/>
      <c r="C4" s="185"/>
      <c r="D4" s="185"/>
      <c r="E4" s="185"/>
      <c r="F4" s="185"/>
      <c r="G4" s="185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5"/>
      <c r="N4" s="185"/>
      <c r="O4" s="185"/>
      <c r="P4" s="122" t="s">
        <v>118</v>
      </c>
      <c r="Q4" s="122" t="s">
        <v>121</v>
      </c>
      <c r="R4" s="122" t="s">
        <v>132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9055.3</v>
      </c>
      <c r="D5" s="89">
        <f t="shared" si="0"/>
        <v>270</v>
      </c>
      <c r="E5" s="89">
        <f t="shared" si="0"/>
        <v>9325.3</v>
      </c>
      <c r="F5" s="89">
        <f t="shared" si="0"/>
        <v>0</v>
      </c>
      <c r="G5" s="89">
        <f t="shared" si="0"/>
        <v>3428.2000000000003</v>
      </c>
      <c r="H5" s="162">
        <f t="shared" si="0"/>
        <v>4188.4</v>
      </c>
      <c r="I5" s="90">
        <f>IF(E5&gt;0,H5/E5,0)</f>
        <v>0.4491437272795513</v>
      </c>
      <c r="J5" s="90">
        <f>IF(F5&gt;0,H5/F5,0)</f>
        <v>0</v>
      </c>
      <c r="K5" s="89">
        <f>K6+K15+K17+K22+K10</f>
        <v>3618.2</v>
      </c>
      <c r="L5" s="90">
        <f aca="true" t="shared" si="1" ref="L5:L48">IF(K5&gt;0,H5/K5,0)</f>
        <v>1.1575921729036538</v>
      </c>
      <c r="M5" s="89">
        <f>M6+M15+M17+M22+M10</f>
        <v>760.2</v>
      </c>
      <c r="N5" s="89">
        <f>N6+N15+N17+N22+N10</f>
        <v>612.8</v>
      </c>
      <c r="O5" s="90">
        <f aca="true" t="shared" si="2" ref="O5:O21">IF(N5&gt;0,M5/N5,0)</f>
        <v>1.2405352480417757</v>
      </c>
      <c r="P5" s="89">
        <f>P6+P15+P17+P22+P10</f>
        <v>364.7</v>
      </c>
      <c r="Q5" s="89">
        <f>Q6+Q15+Q17+Q22+Q10</f>
        <v>260.2</v>
      </c>
      <c r="R5" s="89">
        <f>R6+R15+R17+R22+R10</f>
        <v>281.29999999999995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5628</v>
      </c>
      <c r="D6" s="72">
        <f t="shared" si="3"/>
        <v>0</v>
      </c>
      <c r="E6" s="72">
        <f t="shared" si="3"/>
        <v>5628</v>
      </c>
      <c r="F6" s="72">
        <f t="shared" si="3"/>
        <v>0</v>
      </c>
      <c r="G6" s="72">
        <f t="shared" si="3"/>
        <v>2095.5</v>
      </c>
      <c r="H6" s="72">
        <f t="shared" si="3"/>
        <v>2630</v>
      </c>
      <c r="I6" s="87">
        <f aca="true" t="shared" si="4" ref="I6:I48">IF(E6&gt;0,H6/E6,0)</f>
        <v>0.46730632551528073</v>
      </c>
      <c r="J6" s="87">
        <f>IF(F6&gt;0,H6/F6,0)</f>
        <v>0</v>
      </c>
      <c r="K6" s="72">
        <f>K7+K8+K9</f>
        <v>2519.7</v>
      </c>
      <c r="L6" s="87">
        <f t="shared" si="1"/>
        <v>1.0437750525856253</v>
      </c>
      <c r="M6" s="72">
        <f>M7+M8+M9</f>
        <v>534.5</v>
      </c>
      <c r="N6" s="72">
        <f>N7+N8+N9</f>
        <v>411.2</v>
      </c>
      <c r="O6" s="87">
        <f t="shared" si="2"/>
        <v>1.2998540856031129</v>
      </c>
      <c r="P6" s="72">
        <f>P7+P8+P9</f>
        <v>2.4</v>
      </c>
      <c r="Q6" s="72">
        <f>Q7+Q8+Q9</f>
        <v>11.9</v>
      </c>
      <c r="R6" s="72">
        <f>R7+R8+R9</f>
        <v>1.9</v>
      </c>
      <c r="V6" s="167"/>
    </row>
    <row r="7" spans="1:22" ht="18">
      <c r="A7" s="10" t="s">
        <v>44</v>
      </c>
      <c r="B7" s="13">
        <v>1010201001</v>
      </c>
      <c r="C7" s="71">
        <v>5589</v>
      </c>
      <c r="D7" s="68"/>
      <c r="E7" s="71">
        <f>C7+D7</f>
        <v>5589</v>
      </c>
      <c r="F7" s="71"/>
      <c r="G7" s="68">
        <v>2062.6</v>
      </c>
      <c r="H7" s="68">
        <f>G7+M7</f>
        <v>2580</v>
      </c>
      <c r="I7" s="77">
        <f t="shared" si="4"/>
        <v>0.46162104133118625</v>
      </c>
      <c r="J7" s="77">
        <f aca="true" t="shared" si="5" ref="J7:J48">IF(F7&gt;0,H7/F7,0)</f>
        <v>0</v>
      </c>
      <c r="K7" s="68">
        <v>2495.7</v>
      </c>
      <c r="L7" s="77">
        <f t="shared" si="1"/>
        <v>1.0337780983291263</v>
      </c>
      <c r="M7" s="68">
        <v>517.4</v>
      </c>
      <c r="N7" s="68">
        <v>410.8</v>
      </c>
      <c r="O7" s="77">
        <f t="shared" si="2"/>
        <v>1.2594936708860758</v>
      </c>
      <c r="P7" s="71">
        <v>0.4</v>
      </c>
      <c r="Q7" s="71">
        <v>11.1</v>
      </c>
      <c r="R7" s="71">
        <v>1.3</v>
      </c>
      <c r="V7" s="167"/>
    </row>
    <row r="8" spans="1:22" ht="18">
      <c r="A8" s="10" t="s">
        <v>43</v>
      </c>
      <c r="B8" s="13">
        <v>1010202001</v>
      </c>
      <c r="C8" s="68">
        <v>18</v>
      </c>
      <c r="D8" s="68"/>
      <c r="E8" s="71">
        <f>C8+D8</f>
        <v>18</v>
      </c>
      <c r="F8" s="71"/>
      <c r="G8" s="71">
        <v>14.3</v>
      </c>
      <c r="H8" s="68">
        <f>G8+M8</f>
        <v>19.9</v>
      </c>
      <c r="I8" s="77">
        <f t="shared" si="4"/>
        <v>1.1055555555555554</v>
      </c>
      <c r="J8" s="77">
        <f t="shared" si="5"/>
        <v>0</v>
      </c>
      <c r="K8" s="71">
        <v>10.1</v>
      </c>
      <c r="L8" s="77">
        <f t="shared" si="1"/>
        <v>1.9702970297029703</v>
      </c>
      <c r="M8" s="71">
        <v>5.6</v>
      </c>
      <c r="N8" s="71"/>
      <c r="O8" s="77">
        <f>IF(N8&gt;0,M8/N8,0)</f>
        <v>0</v>
      </c>
      <c r="P8" s="71"/>
      <c r="Q8" s="71"/>
      <c r="R8" s="71"/>
      <c r="V8" s="167"/>
    </row>
    <row r="9" spans="1:22" ht="18">
      <c r="A9" s="10" t="s">
        <v>42</v>
      </c>
      <c r="B9" s="13">
        <v>1010203001</v>
      </c>
      <c r="C9" s="68">
        <v>21</v>
      </c>
      <c r="D9" s="71"/>
      <c r="E9" s="71">
        <f>C9+D9</f>
        <v>21</v>
      </c>
      <c r="F9" s="71"/>
      <c r="G9" s="71">
        <v>18.6</v>
      </c>
      <c r="H9" s="68">
        <f>G9+M9</f>
        <v>30.1</v>
      </c>
      <c r="I9" s="77">
        <f t="shared" si="4"/>
        <v>1.4333333333333333</v>
      </c>
      <c r="J9" s="77">
        <f t="shared" si="5"/>
        <v>0</v>
      </c>
      <c r="K9" s="71">
        <v>13.9</v>
      </c>
      <c r="L9" s="77">
        <f t="shared" si="1"/>
        <v>2.1654676258992804</v>
      </c>
      <c r="M9" s="71">
        <v>11.5</v>
      </c>
      <c r="N9" s="71">
        <v>0.4</v>
      </c>
      <c r="O9" s="77">
        <f t="shared" si="2"/>
        <v>28.75</v>
      </c>
      <c r="P9" s="71">
        <v>2</v>
      </c>
      <c r="Q9" s="71">
        <v>0.8</v>
      </c>
      <c r="R9" s="71">
        <v>0.6</v>
      </c>
      <c r="V9" s="167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1489.3</v>
      </c>
      <c r="D10" s="72">
        <f t="shared" si="6"/>
        <v>0</v>
      </c>
      <c r="E10" s="72">
        <f t="shared" si="6"/>
        <v>1489.3</v>
      </c>
      <c r="F10" s="72">
        <f t="shared" si="6"/>
        <v>0</v>
      </c>
      <c r="G10" s="72">
        <f>G11+G12+G13+G14</f>
        <v>665.4000000000001</v>
      </c>
      <c r="H10" s="72">
        <f t="shared" si="6"/>
        <v>806.5</v>
      </c>
      <c r="I10" s="87">
        <f>IF(E10&gt;0,H10/E10,0)</f>
        <v>0.5415295776539314</v>
      </c>
      <c r="J10" s="87">
        <f>IF(F10&gt;0,H10/F10,0)</f>
        <v>0</v>
      </c>
      <c r="K10" s="72">
        <f>K11+K12+K13+K14</f>
        <v>664.1999999999999</v>
      </c>
      <c r="L10" s="87">
        <f t="shared" si="1"/>
        <v>1.2142426979825356</v>
      </c>
      <c r="M10" s="72">
        <f>M11+M12+M13+M14</f>
        <v>141.1</v>
      </c>
      <c r="N10" s="72">
        <f>N11+N12+N13+N14</f>
        <v>113.10000000000001</v>
      </c>
      <c r="O10" s="87">
        <f t="shared" si="2"/>
        <v>1.2475685234305922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7"/>
    </row>
    <row r="11" spans="1:22" ht="18.75" customHeight="1">
      <c r="A11" s="12" t="s">
        <v>49</v>
      </c>
      <c r="B11" s="12">
        <v>1030223101</v>
      </c>
      <c r="C11" s="71">
        <v>673.4</v>
      </c>
      <c r="D11" s="71"/>
      <c r="E11" s="166">
        <f>C11+D11</f>
        <v>673.4</v>
      </c>
      <c r="F11" s="67"/>
      <c r="G11" s="71">
        <v>325.8</v>
      </c>
      <c r="H11" s="69">
        <f>G11+M11</f>
        <v>397</v>
      </c>
      <c r="I11" s="70">
        <f>IF(E11&gt;0,H11/E11,0)</f>
        <v>0.5895455895455896</v>
      </c>
      <c r="J11" s="70">
        <f>IF(F11&gt;0,H11/F11,0)</f>
        <v>0</v>
      </c>
      <c r="K11" s="71">
        <v>300.4</v>
      </c>
      <c r="L11" s="70">
        <f t="shared" si="1"/>
        <v>1.3215712383488682</v>
      </c>
      <c r="M11" s="71">
        <v>71.2</v>
      </c>
      <c r="N11" s="71">
        <v>50.6</v>
      </c>
      <c r="O11" s="70">
        <f t="shared" si="2"/>
        <v>1.407114624505929</v>
      </c>
      <c r="P11" s="71"/>
      <c r="Q11" s="71"/>
      <c r="R11" s="71"/>
      <c r="V11" s="167"/>
    </row>
    <row r="12" spans="1:22" ht="18" customHeight="1">
      <c r="A12" s="12" t="s">
        <v>50</v>
      </c>
      <c r="B12" s="12">
        <v>1030224101</v>
      </c>
      <c r="C12" s="71">
        <v>3.7</v>
      </c>
      <c r="D12" s="71"/>
      <c r="E12" s="166">
        <f>C12+D12</f>
        <v>3.7</v>
      </c>
      <c r="F12" s="67"/>
      <c r="G12" s="71">
        <v>2</v>
      </c>
      <c r="H12" s="69">
        <f>G12+M12</f>
        <v>2.3</v>
      </c>
      <c r="I12" s="70">
        <f>IF(E12&gt;0,H12/E12,0)</f>
        <v>0.6216216216216215</v>
      </c>
      <c r="J12" s="70">
        <f>IF(F12&gt;0,H12/F12,0)</f>
        <v>0</v>
      </c>
      <c r="K12" s="71">
        <v>2.3</v>
      </c>
      <c r="L12" s="70">
        <f t="shared" si="1"/>
        <v>1</v>
      </c>
      <c r="M12" s="71">
        <v>0.3</v>
      </c>
      <c r="N12" s="71">
        <v>0.4</v>
      </c>
      <c r="O12" s="70">
        <f t="shared" si="2"/>
        <v>0.7499999999999999</v>
      </c>
      <c r="P12" s="71"/>
      <c r="Q12" s="71"/>
      <c r="R12" s="71"/>
      <c r="V12" s="167"/>
    </row>
    <row r="13" spans="1:22" ht="18.75" customHeight="1">
      <c r="A13" s="12" t="s">
        <v>51</v>
      </c>
      <c r="B13" s="12">
        <v>1030225101</v>
      </c>
      <c r="C13" s="71">
        <v>896.6</v>
      </c>
      <c r="D13" s="71"/>
      <c r="E13" s="166">
        <f>C13+D13</f>
        <v>896.6</v>
      </c>
      <c r="F13" s="67"/>
      <c r="G13" s="71">
        <v>377.6</v>
      </c>
      <c r="H13" s="69">
        <f>G13+M13</f>
        <v>457.3</v>
      </c>
      <c r="I13" s="70">
        <f>IF(E13&gt;0,H13/E13,0)</f>
        <v>0.5100379210350212</v>
      </c>
      <c r="J13" s="70">
        <f>IF(F13&gt;0,H13/F13,0)</f>
        <v>0</v>
      </c>
      <c r="K13" s="71">
        <v>417.6</v>
      </c>
      <c r="L13" s="70">
        <f t="shared" si="1"/>
        <v>1.0950670498084292</v>
      </c>
      <c r="M13" s="71">
        <v>79.7</v>
      </c>
      <c r="N13" s="71">
        <v>74.7</v>
      </c>
      <c r="O13" s="70">
        <f t="shared" si="2"/>
        <v>1.0669344042838018</v>
      </c>
      <c r="P13" s="71"/>
      <c r="Q13" s="71"/>
      <c r="R13" s="71"/>
      <c r="V13" s="167"/>
    </row>
    <row r="14" spans="1:22" ht="18" customHeight="1">
      <c r="A14" s="12" t="s">
        <v>52</v>
      </c>
      <c r="B14" s="12">
        <v>1030226101</v>
      </c>
      <c r="C14" s="71">
        <v>-84.4</v>
      </c>
      <c r="D14" s="71"/>
      <c r="E14" s="166">
        <f>C14+D14</f>
        <v>-84.4</v>
      </c>
      <c r="F14" s="67"/>
      <c r="G14" s="71">
        <v>-40</v>
      </c>
      <c r="H14" s="69">
        <f>G14+M14</f>
        <v>-50.1</v>
      </c>
      <c r="I14" s="70">
        <f>H14/E14</f>
        <v>0.5936018957345971</v>
      </c>
      <c r="J14" s="70">
        <f>IF(F14&gt;0,H14/F14,0)</f>
        <v>0</v>
      </c>
      <c r="K14" s="71">
        <v>-56.1</v>
      </c>
      <c r="L14" s="70">
        <f t="shared" si="1"/>
        <v>0</v>
      </c>
      <c r="M14" s="71">
        <v>-10.1</v>
      </c>
      <c r="N14" s="71">
        <v>-12.6</v>
      </c>
      <c r="O14" s="70">
        <f t="shared" si="2"/>
        <v>0</v>
      </c>
      <c r="P14" s="71"/>
      <c r="Q14" s="71"/>
      <c r="R14" s="71"/>
      <c r="V14" s="167"/>
    </row>
    <row r="15" spans="1:22" ht="18">
      <c r="A15" s="9" t="s">
        <v>70</v>
      </c>
      <c r="B15" s="30">
        <v>1050000000</v>
      </c>
      <c r="C15" s="72">
        <f aca="true" t="shared" si="7" ref="C15:H15">C16</f>
        <v>22</v>
      </c>
      <c r="D15" s="73">
        <f t="shared" si="7"/>
        <v>270</v>
      </c>
      <c r="E15" s="73">
        <f t="shared" si="7"/>
        <v>292</v>
      </c>
      <c r="F15" s="73">
        <f t="shared" si="7"/>
        <v>0</v>
      </c>
      <c r="G15" s="72">
        <f>G16</f>
        <v>293</v>
      </c>
      <c r="H15" s="73">
        <f t="shared" si="7"/>
        <v>293</v>
      </c>
      <c r="I15" s="66">
        <f t="shared" si="4"/>
        <v>1.0034246575342465</v>
      </c>
      <c r="J15" s="66">
        <f t="shared" si="5"/>
        <v>0</v>
      </c>
      <c r="K15" s="72">
        <f>K16</f>
        <v>0</v>
      </c>
      <c r="L15" s="66">
        <f t="shared" si="1"/>
        <v>0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7"/>
    </row>
    <row r="16" spans="1:22" ht="18">
      <c r="A16" s="13" t="s">
        <v>7</v>
      </c>
      <c r="B16" s="13">
        <v>1050300001</v>
      </c>
      <c r="C16" s="71">
        <v>22</v>
      </c>
      <c r="D16" s="83">
        <v>270</v>
      </c>
      <c r="E16" s="67">
        <f>C16+D16</f>
        <v>292</v>
      </c>
      <c r="F16" s="67"/>
      <c r="G16" s="71">
        <v>293</v>
      </c>
      <c r="H16" s="69">
        <f>G16+M16</f>
        <v>293</v>
      </c>
      <c r="I16" s="70">
        <f t="shared" si="4"/>
        <v>1.0034246575342465</v>
      </c>
      <c r="J16" s="70">
        <f t="shared" si="5"/>
        <v>0</v>
      </c>
      <c r="K16" s="71"/>
      <c r="L16" s="70">
        <f t="shared" si="1"/>
        <v>0</v>
      </c>
      <c r="M16" s="71"/>
      <c r="N16" s="71"/>
      <c r="O16" s="70">
        <f t="shared" si="2"/>
        <v>0</v>
      </c>
      <c r="P16" s="71"/>
      <c r="Q16" s="71"/>
      <c r="R16" s="71"/>
      <c r="V16" s="167"/>
    </row>
    <row r="17" spans="1:22" ht="18">
      <c r="A17" s="9" t="s">
        <v>71</v>
      </c>
      <c r="B17" s="30">
        <v>1060000000</v>
      </c>
      <c r="C17" s="72">
        <f aca="true" t="shared" si="8" ref="C17:H17">C18+C21</f>
        <v>1916</v>
      </c>
      <c r="D17" s="73">
        <f t="shared" si="8"/>
        <v>0</v>
      </c>
      <c r="E17" s="129">
        <f t="shared" si="8"/>
        <v>1916</v>
      </c>
      <c r="F17" s="73">
        <f t="shared" si="8"/>
        <v>0</v>
      </c>
      <c r="G17" s="73">
        <f>G18+G21</f>
        <v>374.29999999999995</v>
      </c>
      <c r="H17" s="73">
        <f t="shared" si="8"/>
        <v>458.9</v>
      </c>
      <c r="I17" s="66">
        <f t="shared" si="4"/>
        <v>0.23950939457202505</v>
      </c>
      <c r="J17" s="66">
        <f t="shared" si="5"/>
        <v>0</v>
      </c>
      <c r="K17" s="73">
        <f>K18+K21</f>
        <v>434.3</v>
      </c>
      <c r="L17" s="66">
        <f t="shared" si="1"/>
        <v>1.0566428735896845</v>
      </c>
      <c r="M17" s="73">
        <f>M18+M21</f>
        <v>84.60000000000001</v>
      </c>
      <c r="N17" s="73">
        <f>N18+N21</f>
        <v>88.5</v>
      </c>
      <c r="O17" s="66">
        <f t="shared" si="2"/>
        <v>0.9559322033898306</v>
      </c>
      <c r="P17" s="72">
        <f>P18+P21</f>
        <v>362.3</v>
      </c>
      <c r="Q17" s="72">
        <f>Q18+Q21</f>
        <v>248.29999999999998</v>
      </c>
      <c r="R17" s="72">
        <f>R18+R21</f>
        <v>279.4</v>
      </c>
      <c r="V17" s="167"/>
    </row>
    <row r="18" spans="1:22" ht="18">
      <c r="A18" s="13" t="s">
        <v>13</v>
      </c>
      <c r="B18" s="13">
        <v>1060600000</v>
      </c>
      <c r="C18" s="68">
        <f aca="true" t="shared" si="9" ref="C18:H18">C19+C20</f>
        <v>1122</v>
      </c>
      <c r="D18" s="68">
        <f t="shared" si="9"/>
        <v>0</v>
      </c>
      <c r="E18" s="68">
        <f t="shared" si="9"/>
        <v>1122</v>
      </c>
      <c r="F18" s="68">
        <f t="shared" si="9"/>
        <v>0</v>
      </c>
      <c r="G18" s="74">
        <f>G19+G20</f>
        <v>320.4</v>
      </c>
      <c r="H18" s="68">
        <f t="shared" si="9"/>
        <v>424</v>
      </c>
      <c r="I18" s="70">
        <f t="shared" si="4"/>
        <v>0.3778966131907308</v>
      </c>
      <c r="J18" s="70">
        <f t="shared" si="5"/>
        <v>0</v>
      </c>
      <c r="K18" s="74">
        <f>K19+K20</f>
        <v>255.8</v>
      </c>
      <c r="L18" s="70">
        <f t="shared" si="1"/>
        <v>1.6575449569976544</v>
      </c>
      <c r="M18" s="74">
        <f>M19+M20</f>
        <v>103.60000000000001</v>
      </c>
      <c r="N18" s="74">
        <f>N19+N20</f>
        <v>54.6</v>
      </c>
      <c r="O18" s="70">
        <f t="shared" si="2"/>
        <v>1.8974358974358976</v>
      </c>
      <c r="P18" s="71">
        <f>P19+P20</f>
        <v>130.4</v>
      </c>
      <c r="Q18" s="71">
        <f>Q19+Q20</f>
        <v>101.6</v>
      </c>
      <c r="R18" s="71">
        <f>R19+R20</f>
        <v>127.5</v>
      </c>
      <c r="V18" s="167"/>
    </row>
    <row r="19" spans="1:22" ht="18">
      <c r="A19" s="13" t="s">
        <v>100</v>
      </c>
      <c r="B19" s="13">
        <v>1060603313</v>
      </c>
      <c r="C19" s="71">
        <v>562</v>
      </c>
      <c r="D19" s="68"/>
      <c r="E19" s="69">
        <f>C19+D19</f>
        <v>562</v>
      </c>
      <c r="F19" s="67"/>
      <c r="G19" s="71">
        <v>294.5</v>
      </c>
      <c r="H19" s="69">
        <f>G19+M19</f>
        <v>392.9</v>
      </c>
      <c r="I19" s="70">
        <f t="shared" si="4"/>
        <v>0.6991103202846974</v>
      </c>
      <c r="J19" s="70">
        <f t="shared" si="5"/>
        <v>0</v>
      </c>
      <c r="K19" s="71">
        <v>210.3</v>
      </c>
      <c r="L19" s="70">
        <f t="shared" si="1"/>
        <v>1.8682834046600092</v>
      </c>
      <c r="M19" s="71">
        <v>98.4</v>
      </c>
      <c r="N19" s="71">
        <v>53</v>
      </c>
      <c r="O19" s="70">
        <f t="shared" si="2"/>
        <v>1.8566037735849057</v>
      </c>
      <c r="P19" s="71"/>
      <c r="Q19" s="71"/>
      <c r="R19" s="71">
        <v>32.9</v>
      </c>
      <c r="V19" s="167"/>
    </row>
    <row r="20" spans="1:22" ht="18">
      <c r="A20" s="13" t="s">
        <v>101</v>
      </c>
      <c r="B20" s="13">
        <v>1060604313</v>
      </c>
      <c r="C20" s="71">
        <v>560</v>
      </c>
      <c r="D20" s="68"/>
      <c r="E20" s="67">
        <f>C20+D20</f>
        <v>560</v>
      </c>
      <c r="F20" s="67"/>
      <c r="G20" s="71">
        <v>25.9</v>
      </c>
      <c r="H20" s="69">
        <f>G20+M20</f>
        <v>31.099999999999998</v>
      </c>
      <c r="I20" s="70">
        <f t="shared" si="4"/>
        <v>0.05553571428571428</v>
      </c>
      <c r="J20" s="70">
        <f t="shared" si="5"/>
        <v>0</v>
      </c>
      <c r="K20" s="71">
        <v>45.5</v>
      </c>
      <c r="L20" s="70">
        <f t="shared" si="1"/>
        <v>0.6835164835164834</v>
      </c>
      <c r="M20" s="71">
        <v>5.2</v>
      </c>
      <c r="N20" s="71">
        <v>1.6</v>
      </c>
      <c r="O20" s="70">
        <f t="shared" si="2"/>
        <v>3.25</v>
      </c>
      <c r="P20" s="71">
        <v>130.4</v>
      </c>
      <c r="Q20" s="71">
        <v>101.6</v>
      </c>
      <c r="R20" s="71">
        <v>94.6</v>
      </c>
      <c r="V20" s="167"/>
    </row>
    <row r="21" spans="1:22" ht="18">
      <c r="A21" s="13" t="s">
        <v>12</v>
      </c>
      <c r="B21" s="13">
        <v>1060103013</v>
      </c>
      <c r="C21" s="71">
        <v>794</v>
      </c>
      <c r="D21" s="68"/>
      <c r="E21" s="67">
        <f>C21+D21</f>
        <v>794</v>
      </c>
      <c r="F21" s="67"/>
      <c r="G21" s="71">
        <v>53.9</v>
      </c>
      <c r="H21" s="69">
        <f>G21+M21</f>
        <v>34.9</v>
      </c>
      <c r="I21" s="70">
        <f t="shared" si="4"/>
        <v>0.043954659949622166</v>
      </c>
      <c r="J21" s="70">
        <f t="shared" si="5"/>
        <v>0</v>
      </c>
      <c r="K21" s="71">
        <v>178.5</v>
      </c>
      <c r="L21" s="70">
        <f t="shared" si="1"/>
        <v>0.19551820728291316</v>
      </c>
      <c r="M21" s="71">
        <v>-19</v>
      </c>
      <c r="N21" s="71">
        <v>33.9</v>
      </c>
      <c r="O21" s="70">
        <f t="shared" si="2"/>
        <v>-0.56047197640118</v>
      </c>
      <c r="P21" s="71">
        <v>231.9</v>
      </c>
      <c r="Q21" s="71">
        <v>146.7</v>
      </c>
      <c r="R21" s="71">
        <v>151.9</v>
      </c>
      <c r="V21" s="167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7"/>
    </row>
    <row r="23" spans="1:22" ht="18">
      <c r="A23" s="14" t="s">
        <v>22</v>
      </c>
      <c r="B23" s="32"/>
      <c r="C23" s="76">
        <f>C24+C30+C33+C37+C38</f>
        <v>2674</v>
      </c>
      <c r="D23" s="76">
        <f>D24+D30+D33+D37+D38</f>
        <v>374.32500000000005</v>
      </c>
      <c r="E23" s="76">
        <f>E24+E32+E35+E38+E37+E34+E31+E36</f>
        <v>3048.325</v>
      </c>
      <c r="F23" s="76">
        <f>F24+F32+F35+F38+F37+F34+F31+F36</f>
        <v>0</v>
      </c>
      <c r="G23" s="76">
        <f>G24+G30+G33+G37+G38</f>
        <v>1548.8</v>
      </c>
      <c r="H23" s="76">
        <f>H24+H32+H35+H38+H37+H34+H31+H36</f>
        <v>1652.6</v>
      </c>
      <c r="I23" s="64">
        <f t="shared" si="4"/>
        <v>0.5421337947889415</v>
      </c>
      <c r="J23" s="64">
        <f t="shared" si="5"/>
        <v>0</v>
      </c>
      <c r="K23" s="76">
        <f>K24+K30+K33+K37+K38</f>
        <v>751.4</v>
      </c>
      <c r="L23" s="64">
        <f t="shared" si="1"/>
        <v>2.199361192440777</v>
      </c>
      <c r="M23" s="76">
        <f>M24+M30+M33+M37+M38</f>
        <v>103.80000000000001</v>
      </c>
      <c r="N23" s="76">
        <f>N24+N30+N33+N37+N38</f>
        <v>111.90000000000002</v>
      </c>
      <c r="O23" s="64">
        <f t="shared" si="10"/>
        <v>0.9276139410187667</v>
      </c>
      <c r="P23" s="86">
        <f>P24+P31+P34+P37+P36+P33</f>
        <v>123</v>
      </c>
      <c r="Q23" s="76">
        <f>Q24+Q31+Q34+Q37+Q36+Q33</f>
        <v>117.9</v>
      </c>
      <c r="R23" s="76">
        <f>R24+R31+R34+R37+R36+R33</f>
        <v>83.4</v>
      </c>
      <c r="V23" s="167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1827</v>
      </c>
      <c r="D24" s="72">
        <f t="shared" si="11"/>
        <v>0</v>
      </c>
      <c r="E24" s="72">
        <f t="shared" si="11"/>
        <v>1827</v>
      </c>
      <c r="F24" s="72">
        <f t="shared" si="11"/>
        <v>0</v>
      </c>
      <c r="G24" s="72">
        <f>G25+G28+G29+G26+G27</f>
        <v>832.8</v>
      </c>
      <c r="H24" s="72">
        <f t="shared" si="11"/>
        <v>933.1999999999999</v>
      </c>
      <c r="I24" s="66">
        <f t="shared" si="4"/>
        <v>0.5107827038861521</v>
      </c>
      <c r="J24" s="66">
        <f t="shared" si="5"/>
        <v>0</v>
      </c>
      <c r="K24" s="72">
        <f>K25+K28+K29+K26+K27</f>
        <v>647.8</v>
      </c>
      <c r="L24" s="66">
        <f t="shared" si="1"/>
        <v>1.4405680765668416</v>
      </c>
      <c r="M24" s="72">
        <f>M25+M28+M29+M26+M27</f>
        <v>100.4</v>
      </c>
      <c r="N24" s="72">
        <f>N25+N28+N29+N26+N27</f>
        <v>111.90000000000002</v>
      </c>
      <c r="O24" s="66">
        <f t="shared" si="10"/>
        <v>0.8972296693476317</v>
      </c>
      <c r="P24" s="73">
        <f>P25+P27+P28</f>
        <v>123</v>
      </c>
      <c r="Q24" s="72">
        <f>Q25+Q27+Q28</f>
        <v>117.9</v>
      </c>
      <c r="R24" s="72">
        <f>R25+R27+R28</f>
        <v>83.4</v>
      </c>
      <c r="V24" s="167"/>
    </row>
    <row r="25" spans="1:22" ht="18.75">
      <c r="A25" s="54" t="s">
        <v>97</v>
      </c>
      <c r="B25" s="13">
        <v>1110501313</v>
      </c>
      <c r="C25" s="71">
        <v>960</v>
      </c>
      <c r="D25" s="68"/>
      <c r="E25" s="67">
        <f aca="true" t="shared" si="12" ref="E25:E34">C25+D25</f>
        <v>960</v>
      </c>
      <c r="F25" s="67"/>
      <c r="G25" s="71">
        <v>473.2</v>
      </c>
      <c r="H25" s="69">
        <f aca="true" t="shared" si="13" ref="H25:H37">G25+M25</f>
        <v>507.59999999999997</v>
      </c>
      <c r="I25" s="70">
        <f t="shared" si="4"/>
        <v>0.5287499999999999</v>
      </c>
      <c r="J25" s="70">
        <f t="shared" si="5"/>
        <v>0</v>
      </c>
      <c r="K25" s="71">
        <v>288.7</v>
      </c>
      <c r="L25" s="70">
        <f t="shared" si="1"/>
        <v>1.7582265327329407</v>
      </c>
      <c r="M25" s="71">
        <v>34.4</v>
      </c>
      <c r="N25" s="71">
        <v>49.1</v>
      </c>
      <c r="O25" s="70">
        <f t="shared" si="10"/>
        <v>0.70061099796334</v>
      </c>
      <c r="P25" s="183">
        <v>123</v>
      </c>
      <c r="Q25" s="61">
        <v>117.9</v>
      </c>
      <c r="R25" s="61">
        <v>83.4</v>
      </c>
      <c r="V25" s="167"/>
    </row>
    <row r="26" spans="1:22" ht="18.75">
      <c r="A26" s="13" t="s">
        <v>98</v>
      </c>
      <c r="B26" s="13">
        <v>1110502513</v>
      </c>
      <c r="C26" s="71">
        <v>27</v>
      </c>
      <c r="D26" s="83"/>
      <c r="E26" s="67">
        <f t="shared" si="12"/>
        <v>27</v>
      </c>
      <c r="F26" s="67"/>
      <c r="G26" s="71">
        <v>2.9</v>
      </c>
      <c r="H26" s="69">
        <f>G26+M26</f>
        <v>3.8</v>
      </c>
      <c r="I26" s="70">
        <f>IF(E26&gt;0,H26/E26,0)</f>
        <v>0.14074074074074072</v>
      </c>
      <c r="J26" s="70"/>
      <c r="K26" s="71">
        <v>0.8</v>
      </c>
      <c r="L26" s="70">
        <f t="shared" si="1"/>
        <v>4.749999999999999</v>
      </c>
      <c r="M26" s="71">
        <v>0.9</v>
      </c>
      <c r="N26" s="71">
        <v>0.4</v>
      </c>
      <c r="O26" s="70">
        <f t="shared" si="10"/>
        <v>2.25</v>
      </c>
      <c r="P26" s="61"/>
      <c r="Q26" s="61"/>
      <c r="R26" s="61"/>
      <c r="V26" s="167"/>
    </row>
    <row r="27" spans="1:22" ht="18.75">
      <c r="A27" s="13" t="s">
        <v>110</v>
      </c>
      <c r="B27" s="13">
        <v>1110507513</v>
      </c>
      <c r="C27" s="71">
        <v>330</v>
      </c>
      <c r="D27" s="83"/>
      <c r="E27" s="67">
        <f t="shared" si="12"/>
        <v>330</v>
      </c>
      <c r="F27" s="67"/>
      <c r="G27" s="71">
        <v>157.1</v>
      </c>
      <c r="H27" s="69">
        <f>G27+M27</f>
        <v>188.1</v>
      </c>
      <c r="I27" s="70">
        <f>IF(E27&gt;0,H27/E27,0)</f>
        <v>0.57</v>
      </c>
      <c r="J27" s="70"/>
      <c r="K27" s="71">
        <v>160.3</v>
      </c>
      <c r="L27" s="70"/>
      <c r="M27" s="71">
        <v>31</v>
      </c>
      <c r="N27" s="71">
        <v>26.7</v>
      </c>
      <c r="O27" s="70"/>
      <c r="P27" s="61"/>
      <c r="Q27" s="61"/>
      <c r="R27" s="61"/>
      <c r="V27" s="167"/>
    </row>
    <row r="28" spans="1:22" ht="18">
      <c r="A28" s="13" t="s">
        <v>23</v>
      </c>
      <c r="B28" s="13">
        <v>1110904513</v>
      </c>
      <c r="C28" s="71">
        <v>510</v>
      </c>
      <c r="D28" s="83"/>
      <c r="E28" s="67">
        <f t="shared" si="12"/>
        <v>510</v>
      </c>
      <c r="F28" s="67"/>
      <c r="G28" s="71">
        <v>199.6</v>
      </c>
      <c r="H28" s="69">
        <f t="shared" si="13"/>
        <v>233.7</v>
      </c>
      <c r="I28" s="70">
        <f t="shared" si="4"/>
        <v>0.458235294117647</v>
      </c>
      <c r="J28" s="70">
        <f t="shared" si="5"/>
        <v>0</v>
      </c>
      <c r="K28" s="71">
        <v>198</v>
      </c>
      <c r="L28" s="70">
        <f t="shared" si="1"/>
        <v>1.1803030303030302</v>
      </c>
      <c r="M28" s="71">
        <v>34.1</v>
      </c>
      <c r="N28" s="71">
        <v>35.7</v>
      </c>
      <c r="O28" s="70">
        <f t="shared" si="10"/>
        <v>0.9551820728291316</v>
      </c>
      <c r="P28" s="71"/>
      <c r="Q28" s="71"/>
      <c r="R28" s="71"/>
      <c r="V28" s="167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7"/>
    </row>
    <row r="30" spans="1:22" ht="18.75">
      <c r="A30" s="146" t="s">
        <v>66</v>
      </c>
      <c r="B30" s="148">
        <v>1130000000</v>
      </c>
      <c r="C30" s="133">
        <f>C31+C32</f>
        <v>27</v>
      </c>
      <c r="D30" s="133">
        <f>D31+D32</f>
        <v>0</v>
      </c>
      <c r="E30" s="134">
        <f>C30+D30</f>
        <v>27</v>
      </c>
      <c r="F30" s="134"/>
      <c r="G30" s="133">
        <f>G31+G32</f>
        <v>15.3</v>
      </c>
      <c r="H30" s="147">
        <f t="shared" si="13"/>
        <v>17.5</v>
      </c>
      <c r="I30" s="135">
        <f t="shared" si="4"/>
        <v>0.6481481481481481</v>
      </c>
      <c r="J30" s="135"/>
      <c r="K30" s="133">
        <f>K31+K32</f>
        <v>0</v>
      </c>
      <c r="L30" s="135">
        <f t="shared" si="1"/>
        <v>0</v>
      </c>
      <c r="M30" s="133">
        <f>M31+M32</f>
        <v>2.2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7"/>
    </row>
    <row r="31" spans="1:22" ht="18">
      <c r="A31" s="45" t="s">
        <v>103</v>
      </c>
      <c r="B31" s="15">
        <v>1130206513</v>
      </c>
      <c r="C31" s="142">
        <v>27</v>
      </c>
      <c r="D31" s="142"/>
      <c r="E31" s="143">
        <f t="shared" si="12"/>
        <v>27</v>
      </c>
      <c r="F31" s="143"/>
      <c r="G31" s="142">
        <v>15.3</v>
      </c>
      <c r="H31" s="144">
        <f t="shared" si="13"/>
        <v>17.5</v>
      </c>
      <c r="I31" s="145">
        <f t="shared" si="4"/>
        <v>0.6481481481481481</v>
      </c>
      <c r="J31" s="145"/>
      <c r="K31" s="142"/>
      <c r="L31" s="145">
        <f t="shared" si="1"/>
        <v>0</v>
      </c>
      <c r="M31" s="142">
        <v>2.2</v>
      </c>
      <c r="N31" s="142"/>
      <c r="O31" s="145">
        <f t="shared" si="10"/>
        <v>0</v>
      </c>
      <c r="P31" s="142"/>
      <c r="Q31" s="142"/>
      <c r="R31" s="142"/>
      <c r="V31" s="167"/>
    </row>
    <row r="32" spans="1:22" ht="18">
      <c r="A32" s="15" t="s">
        <v>38</v>
      </c>
      <c r="B32" s="15">
        <v>1130299513</v>
      </c>
      <c r="C32" s="142"/>
      <c r="D32" s="142"/>
      <c r="E32" s="143">
        <f t="shared" si="12"/>
        <v>0</v>
      </c>
      <c r="F32" s="143"/>
      <c r="G32" s="142"/>
      <c r="H32" s="144">
        <f t="shared" si="13"/>
        <v>0</v>
      </c>
      <c r="I32" s="145">
        <f t="shared" si="4"/>
        <v>0</v>
      </c>
      <c r="J32" s="145">
        <f t="shared" si="5"/>
        <v>0</v>
      </c>
      <c r="K32" s="142"/>
      <c r="L32" s="145">
        <f t="shared" si="1"/>
        <v>0</v>
      </c>
      <c r="M32" s="142"/>
      <c r="N32" s="142"/>
      <c r="O32" s="145">
        <f t="shared" si="10"/>
        <v>0</v>
      </c>
      <c r="P32" s="142"/>
      <c r="Q32" s="142"/>
      <c r="R32" s="142"/>
      <c r="V32" s="167"/>
    </row>
    <row r="33" spans="1:22" ht="18.75">
      <c r="A33" s="146" t="s">
        <v>67</v>
      </c>
      <c r="B33" s="148">
        <v>1140000000</v>
      </c>
      <c r="C33" s="151">
        <f>C34+C35+C36</f>
        <v>800</v>
      </c>
      <c r="D33" s="151">
        <f>D34+D35+D36</f>
        <v>-270</v>
      </c>
      <c r="E33" s="134">
        <f t="shared" si="12"/>
        <v>530</v>
      </c>
      <c r="F33" s="134"/>
      <c r="G33" s="151">
        <f>G34+G35+G36</f>
        <v>47.9</v>
      </c>
      <c r="H33" s="147">
        <f t="shared" si="13"/>
        <v>47.9</v>
      </c>
      <c r="I33" s="135">
        <f>IF(E33&gt;0,H33/E33,0)</f>
        <v>0.09037735849056604</v>
      </c>
      <c r="J33" s="135"/>
      <c r="K33" s="151">
        <f>K34+K35+K36</f>
        <v>103.6</v>
      </c>
      <c r="L33" s="135">
        <f>IF(K33&gt;0,H33/K33,0)</f>
        <v>0.4623552123552124</v>
      </c>
      <c r="M33" s="151">
        <f>M34+M35+M36</f>
        <v>0</v>
      </c>
      <c r="N33" s="151">
        <f>N34+N35+N36</f>
        <v>0</v>
      </c>
      <c r="O33" s="135">
        <f t="shared" si="10"/>
        <v>0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7"/>
    </row>
    <row r="34" spans="1:22" ht="18">
      <c r="A34" s="15" t="s">
        <v>75</v>
      </c>
      <c r="B34" s="15">
        <v>1140205313</v>
      </c>
      <c r="C34" s="142">
        <v>300</v>
      </c>
      <c r="D34" s="142"/>
      <c r="E34" s="143">
        <f t="shared" si="12"/>
        <v>300</v>
      </c>
      <c r="F34" s="143"/>
      <c r="G34" s="142"/>
      <c r="H34" s="144">
        <f t="shared" si="13"/>
        <v>0</v>
      </c>
      <c r="I34" s="145">
        <f>IF(E34&gt;0,H34/E34,0)</f>
        <v>0</v>
      </c>
      <c r="J34" s="145">
        <f>IF(F34&gt;0,H34/F34,0)</f>
        <v>0</v>
      </c>
      <c r="K34" s="142"/>
      <c r="L34" s="145">
        <f>IF(K34&gt;0,H34/K34,0)</f>
        <v>0</v>
      </c>
      <c r="M34" s="142"/>
      <c r="N34" s="142"/>
      <c r="O34" s="145">
        <f t="shared" si="10"/>
        <v>0</v>
      </c>
      <c r="P34" s="142"/>
      <c r="Q34" s="142"/>
      <c r="R34" s="142"/>
      <c r="V34" s="167"/>
    </row>
    <row r="35" spans="1:22" ht="18">
      <c r="A35" s="15" t="s">
        <v>104</v>
      </c>
      <c r="B35" s="15">
        <v>1140601313</v>
      </c>
      <c r="C35" s="142">
        <v>500</v>
      </c>
      <c r="D35" s="142">
        <v>-360</v>
      </c>
      <c r="E35" s="144">
        <f>C35+D35</f>
        <v>140</v>
      </c>
      <c r="F35" s="144"/>
      <c r="G35" s="142">
        <v>-40.1</v>
      </c>
      <c r="H35" s="144">
        <f t="shared" si="13"/>
        <v>-40.1</v>
      </c>
      <c r="I35" s="145">
        <f t="shared" si="4"/>
        <v>-0.2864285714285714</v>
      </c>
      <c r="J35" s="145">
        <f t="shared" si="5"/>
        <v>0</v>
      </c>
      <c r="K35" s="142">
        <v>103.6</v>
      </c>
      <c r="L35" s="145">
        <f t="shared" si="1"/>
        <v>-0.3870656370656371</v>
      </c>
      <c r="M35" s="142"/>
      <c r="N35" s="142"/>
      <c r="O35" s="145">
        <f t="shared" si="10"/>
        <v>0</v>
      </c>
      <c r="P35" s="142"/>
      <c r="Q35" s="142"/>
      <c r="R35" s="142"/>
      <c r="V35" s="167"/>
    </row>
    <row r="36" spans="1:22" ht="18">
      <c r="A36" s="15" t="s">
        <v>105</v>
      </c>
      <c r="B36" s="150">
        <v>1140602513</v>
      </c>
      <c r="C36" s="149"/>
      <c r="D36" s="142">
        <v>90</v>
      </c>
      <c r="E36" s="144">
        <f>C36+D36</f>
        <v>90</v>
      </c>
      <c r="F36" s="144"/>
      <c r="G36" s="142">
        <v>88</v>
      </c>
      <c r="H36" s="144">
        <f t="shared" si="13"/>
        <v>88</v>
      </c>
      <c r="I36" s="145">
        <f t="shared" si="4"/>
        <v>0.9777777777777777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7"/>
    </row>
    <row r="37" spans="1:22" ht="18">
      <c r="A37" s="9" t="s">
        <v>77</v>
      </c>
      <c r="B37" s="55">
        <v>1160000000</v>
      </c>
      <c r="C37" s="72">
        <v>20</v>
      </c>
      <c r="D37" s="72"/>
      <c r="E37" s="85">
        <f>C37+D37</f>
        <v>20</v>
      </c>
      <c r="F37" s="75"/>
      <c r="G37" s="72">
        <v>7.1</v>
      </c>
      <c r="H37" s="75">
        <f t="shared" si="13"/>
        <v>8.299999999999999</v>
      </c>
      <c r="I37" s="66">
        <f t="shared" si="4"/>
        <v>0.4149999999999999</v>
      </c>
      <c r="J37" s="66">
        <f t="shared" si="5"/>
        <v>0</v>
      </c>
      <c r="K37" s="72"/>
      <c r="L37" s="66">
        <f t="shared" si="1"/>
        <v>0</v>
      </c>
      <c r="M37" s="72">
        <v>1.2</v>
      </c>
      <c r="N37" s="72"/>
      <c r="O37" s="66">
        <f t="shared" si="10"/>
        <v>0</v>
      </c>
      <c r="P37" s="72"/>
      <c r="Q37" s="72"/>
      <c r="R37" s="72"/>
      <c r="V37" s="167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>SUM(D39:D41)</f>
        <v>644.325</v>
      </c>
      <c r="E38" s="72">
        <f>SUM(E39:E41)</f>
        <v>644.325</v>
      </c>
      <c r="F38" s="72">
        <f>SUM(F39:F40)</f>
        <v>0</v>
      </c>
      <c r="G38" s="72">
        <f>SUM(G39:G41)</f>
        <v>645.7</v>
      </c>
      <c r="H38" s="73">
        <f>SUM(H39:H41)</f>
        <v>645.7</v>
      </c>
      <c r="I38" s="66">
        <f t="shared" si="4"/>
        <v>1.0021340162185233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SUM(M39:M41)</f>
        <v>0</v>
      </c>
      <c r="N38" s="72">
        <f>SUM(N39:N40)</f>
        <v>0</v>
      </c>
      <c r="O38" s="72">
        <f>SUM(O39:O40)</f>
        <v>0</v>
      </c>
      <c r="P38" s="72">
        <f>SUM(P39:P40)</f>
        <v>0</v>
      </c>
      <c r="Q38" s="72">
        <f>SUM(Q39:Q40)</f>
        <v>0</v>
      </c>
      <c r="R38" s="72">
        <f>SUM(R39:R40)</f>
        <v>0</v>
      </c>
      <c r="V38" s="167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4" ref="O39:O48">IF(N39&gt;0,M39/N39,0)</f>
        <v>0</v>
      </c>
      <c r="P39" s="77"/>
      <c r="Q39" s="77"/>
      <c r="R39" s="77"/>
      <c r="V39" s="167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4"/>
        <v>0</v>
      </c>
      <c r="P40" s="71"/>
      <c r="Q40" s="71"/>
      <c r="R40" s="71"/>
      <c r="V40" s="167"/>
    </row>
    <row r="41" spans="1:22" ht="18">
      <c r="A41" s="45" t="s">
        <v>119</v>
      </c>
      <c r="B41" s="13">
        <v>1171503013</v>
      </c>
      <c r="C41" s="71"/>
      <c r="D41" s="83">
        <v>644.325</v>
      </c>
      <c r="E41" s="67">
        <f>C41+D41</f>
        <v>644.325</v>
      </c>
      <c r="F41" s="67"/>
      <c r="G41" s="71">
        <v>645.7</v>
      </c>
      <c r="H41" s="69">
        <f>G41+M41</f>
        <v>645.7</v>
      </c>
      <c r="I41" s="70">
        <f>IF(E41&gt;0,H41/E41,0)</f>
        <v>1.0021340162185233</v>
      </c>
      <c r="J41" s="70"/>
      <c r="K41" s="71"/>
      <c r="L41" s="70">
        <f>IF(K41&gt;0,H41/K41,0)</f>
        <v>0</v>
      </c>
      <c r="M41" s="71"/>
      <c r="N41" s="71"/>
      <c r="O41" s="70">
        <f t="shared" si="14"/>
        <v>0</v>
      </c>
      <c r="P41" s="71"/>
      <c r="Q41" s="71"/>
      <c r="R41" s="71"/>
      <c r="V41" s="167"/>
    </row>
    <row r="42" spans="1:22" ht="18">
      <c r="A42" s="9" t="s">
        <v>6</v>
      </c>
      <c r="B42" s="9">
        <v>1000000000</v>
      </c>
      <c r="C42" s="78">
        <f aca="true" t="shared" si="15" ref="C42:H42">C5+C23</f>
        <v>11729.3</v>
      </c>
      <c r="D42" s="78">
        <f t="shared" si="15"/>
        <v>644.325</v>
      </c>
      <c r="E42" s="78">
        <f t="shared" si="15"/>
        <v>12373.625</v>
      </c>
      <c r="F42" s="79">
        <f t="shared" si="15"/>
        <v>0</v>
      </c>
      <c r="G42" s="79">
        <f>G5+G23</f>
        <v>4977</v>
      </c>
      <c r="H42" s="79">
        <f t="shared" si="15"/>
        <v>5841</v>
      </c>
      <c r="I42" s="80">
        <f t="shared" si="4"/>
        <v>0.47205245027225246</v>
      </c>
      <c r="J42" s="80">
        <f t="shared" si="5"/>
        <v>0</v>
      </c>
      <c r="K42" s="79">
        <f>K5+K23</f>
        <v>4369.599999999999</v>
      </c>
      <c r="L42" s="80">
        <f t="shared" si="1"/>
        <v>1.3367356279751008</v>
      </c>
      <c r="M42" s="79">
        <f>M5+M23</f>
        <v>864</v>
      </c>
      <c r="N42" s="79">
        <f>N5+N23</f>
        <v>724.6999999999999</v>
      </c>
      <c r="O42" s="80">
        <f t="shared" si="14"/>
        <v>1.1922174692976406</v>
      </c>
      <c r="P42" s="79">
        <f>P5+P23</f>
        <v>487.7</v>
      </c>
      <c r="Q42" s="79">
        <f>Q5+Q23</f>
        <v>378.1</v>
      </c>
      <c r="R42" s="123">
        <f>R5+R23</f>
        <v>364.69999999999993</v>
      </c>
      <c r="V42" s="167"/>
    </row>
    <row r="43" spans="1:22" ht="18">
      <c r="A43" s="9" t="s">
        <v>92</v>
      </c>
      <c r="B43" s="9"/>
      <c r="C43" s="78">
        <f aca="true" t="shared" si="16" ref="C43:H43">C42-C10</f>
        <v>10240</v>
      </c>
      <c r="D43" s="78">
        <f t="shared" si="16"/>
        <v>644.325</v>
      </c>
      <c r="E43" s="78">
        <f t="shared" si="16"/>
        <v>10884.325</v>
      </c>
      <c r="F43" s="79">
        <f t="shared" si="16"/>
        <v>0</v>
      </c>
      <c r="G43" s="79">
        <f>G42-G10</f>
        <v>4311.6</v>
      </c>
      <c r="H43" s="79">
        <f t="shared" si="16"/>
        <v>5034.5</v>
      </c>
      <c r="I43" s="80">
        <f>IF(E43&gt;0,H43/E43,0)</f>
        <v>0.4625459089102907</v>
      </c>
      <c r="J43" s="80">
        <f>IF(F43&gt;0,H43/F43,0)</f>
        <v>0</v>
      </c>
      <c r="K43" s="79">
        <f>K42-K10</f>
        <v>3705.3999999999996</v>
      </c>
      <c r="L43" s="80">
        <f t="shared" si="1"/>
        <v>1.3586927187348197</v>
      </c>
      <c r="M43" s="79">
        <f>M42-M10</f>
        <v>722.9</v>
      </c>
      <c r="N43" s="79">
        <f>N42-N10</f>
        <v>611.5999999999999</v>
      </c>
      <c r="O43" s="80">
        <f t="shared" si="14"/>
        <v>1.181981687377371</v>
      </c>
      <c r="P43" s="79"/>
      <c r="Q43" s="79"/>
      <c r="R43" s="123"/>
      <c r="V43" s="167"/>
    </row>
    <row r="44" spans="1:22" ht="18">
      <c r="A44" s="13" t="s">
        <v>36</v>
      </c>
      <c r="B44" s="13">
        <v>2000000000</v>
      </c>
      <c r="C44" s="83">
        <v>27507.95</v>
      </c>
      <c r="D44" s="83">
        <f>3000+1944.5-4042.25</f>
        <v>902.25</v>
      </c>
      <c r="E44" s="166">
        <f>C44+D44</f>
        <v>28410.2</v>
      </c>
      <c r="F44" s="67"/>
      <c r="G44" s="71">
        <v>1329.8</v>
      </c>
      <c r="H44" s="68">
        <f>G44+M44</f>
        <v>1465.3</v>
      </c>
      <c r="I44" s="70">
        <f t="shared" si="4"/>
        <v>0.05157654645162653</v>
      </c>
      <c r="J44" s="70">
        <f t="shared" si="5"/>
        <v>0</v>
      </c>
      <c r="K44" s="71">
        <v>956.2</v>
      </c>
      <c r="L44" s="70">
        <f t="shared" si="1"/>
        <v>1.5324199958167746</v>
      </c>
      <c r="M44" s="71">
        <v>135.5</v>
      </c>
      <c r="N44" s="71">
        <v>567.4</v>
      </c>
      <c r="O44" s="70">
        <f t="shared" si="14"/>
        <v>0.23880860063447304</v>
      </c>
      <c r="P44" s="71"/>
      <c r="Q44" s="71"/>
      <c r="R44" s="71"/>
      <c r="V44" s="167"/>
    </row>
    <row r="45" spans="1:22" ht="18">
      <c r="A45" s="13" t="s">
        <v>46</v>
      </c>
      <c r="B45" s="34" t="s">
        <v>95</v>
      </c>
      <c r="C45" s="71"/>
      <c r="D45" s="83"/>
      <c r="E45" s="67">
        <f>C45+D45</f>
        <v>0</v>
      </c>
      <c r="F45" s="67"/>
      <c r="G45" s="71"/>
      <c r="H45" s="68">
        <f>G45+M45</f>
        <v>0</v>
      </c>
      <c r="I45" s="70">
        <f>IF(E45&gt;0,H45/E45,0)</f>
        <v>0</v>
      </c>
      <c r="J45" s="70">
        <f>IF(F45&gt;0,H45/F45,0)</f>
        <v>0</v>
      </c>
      <c r="K45" s="71"/>
      <c r="L45" s="70">
        <f t="shared" si="1"/>
        <v>0</v>
      </c>
      <c r="M45" s="71"/>
      <c r="N45" s="71"/>
      <c r="O45" s="70">
        <f t="shared" si="14"/>
        <v>0</v>
      </c>
      <c r="P45" s="71"/>
      <c r="Q45" s="71"/>
      <c r="R45" s="71"/>
      <c r="V45" s="167"/>
    </row>
    <row r="46" spans="1:22" ht="18">
      <c r="A46" s="8" t="s">
        <v>108</v>
      </c>
      <c r="B46" s="158" t="s">
        <v>111</v>
      </c>
      <c r="C46" s="71"/>
      <c r="D46" s="83"/>
      <c r="E46" s="67">
        <f>C46+D46</f>
        <v>0</v>
      </c>
      <c r="F46" s="67"/>
      <c r="G46" s="68"/>
      <c r="H46" s="68">
        <f>G46+M46</f>
        <v>0</v>
      </c>
      <c r="I46" s="70">
        <f>IF(E46&gt;0,H46/E46,0)</f>
        <v>0</v>
      </c>
      <c r="J46" s="70"/>
      <c r="K46" s="68"/>
      <c r="L46" s="70"/>
      <c r="M46" s="68"/>
      <c r="N46" s="68"/>
      <c r="O46" s="70"/>
      <c r="P46" s="71"/>
      <c r="Q46" s="71"/>
      <c r="R46" s="71"/>
      <c r="V46" s="167"/>
    </row>
    <row r="47" spans="1:22" ht="24" customHeight="1">
      <c r="A47" s="8" t="s">
        <v>93</v>
      </c>
      <c r="B47" s="46" t="s">
        <v>107</v>
      </c>
      <c r="C47" s="71"/>
      <c r="D47" s="82"/>
      <c r="E47" s="67">
        <f>C47+D47</f>
        <v>0</v>
      </c>
      <c r="F47" s="67"/>
      <c r="G47" s="71"/>
      <c r="H47" s="68">
        <f>G47+M47</f>
        <v>0</v>
      </c>
      <c r="I47" s="70"/>
      <c r="J47" s="70"/>
      <c r="K47" s="71"/>
      <c r="L47" s="70"/>
      <c r="M47" s="71"/>
      <c r="N47" s="71"/>
      <c r="O47" s="70"/>
      <c r="P47" s="71"/>
      <c r="Q47" s="71"/>
      <c r="R47" s="71"/>
      <c r="V47" s="167"/>
    </row>
    <row r="48" spans="1:22" ht="18">
      <c r="A48" s="9" t="s">
        <v>2</v>
      </c>
      <c r="B48" s="9"/>
      <c r="C48" s="78">
        <f>C42+C44+C45</f>
        <v>39237.25</v>
      </c>
      <c r="D48" s="78">
        <f>D42+D44+D45+D47+D46</f>
        <v>1546.575</v>
      </c>
      <c r="E48" s="78">
        <f>E42+E44+E45+E47+E46</f>
        <v>40783.825</v>
      </c>
      <c r="F48" s="79">
        <f>F42+F44+F45</f>
        <v>0</v>
      </c>
      <c r="G48" s="79">
        <f>G42+G44+G45+G47+G46</f>
        <v>6306.8</v>
      </c>
      <c r="H48" s="79">
        <f>H42+H44+H45+H47+H46</f>
        <v>7306.3</v>
      </c>
      <c r="I48" s="80">
        <f t="shared" si="4"/>
        <v>0.1791470025187682</v>
      </c>
      <c r="J48" s="80">
        <f t="shared" si="5"/>
        <v>0</v>
      </c>
      <c r="K48" s="79">
        <f>K42+K44+K45+K46+K47</f>
        <v>5325.799999999999</v>
      </c>
      <c r="L48" s="80">
        <f t="shared" si="1"/>
        <v>1.3718690149836648</v>
      </c>
      <c r="M48" s="79">
        <f>M42+M44+M45+M47+M46</f>
        <v>999.5</v>
      </c>
      <c r="N48" s="79">
        <f>N42+N44+N45+N47+N46</f>
        <v>1292.1</v>
      </c>
      <c r="O48" s="80">
        <f t="shared" si="14"/>
        <v>0.7735469390914016</v>
      </c>
      <c r="P48" s="79">
        <f>P42+P44+P45</f>
        <v>487.7</v>
      </c>
      <c r="Q48" s="79">
        <f>Q42+Q44+Q45</f>
        <v>378.1</v>
      </c>
      <c r="R48" s="79">
        <f>R42+R44+R45</f>
        <v>364.69999999999993</v>
      </c>
      <c r="V48" s="167"/>
    </row>
  </sheetData>
  <sheetProtection/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1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91" t="s">
        <v>11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49"/>
      <c r="O1" s="49"/>
      <c r="P1" s="26"/>
      <c r="Q1" s="26"/>
      <c r="R1" s="26"/>
    </row>
    <row r="2" spans="1:18" ht="15.75">
      <c r="A2" s="26"/>
      <c r="B2" s="192" t="s">
        <v>125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8" customHeight="1">
      <c r="A3" s="193" t="s">
        <v>3</v>
      </c>
      <c r="B3" s="185" t="s">
        <v>4</v>
      </c>
      <c r="C3" s="185" t="s">
        <v>115</v>
      </c>
      <c r="D3" s="185" t="s">
        <v>24</v>
      </c>
      <c r="E3" s="185" t="s">
        <v>116</v>
      </c>
      <c r="F3" s="185" t="s">
        <v>99</v>
      </c>
      <c r="G3" s="185" t="s">
        <v>120</v>
      </c>
      <c r="H3" s="185" t="s">
        <v>117</v>
      </c>
      <c r="I3" s="185"/>
      <c r="J3" s="185"/>
      <c r="K3" s="185" t="s">
        <v>113</v>
      </c>
      <c r="L3" s="185"/>
      <c r="M3" s="185" t="s">
        <v>123</v>
      </c>
      <c r="N3" s="185" t="s">
        <v>124</v>
      </c>
      <c r="O3" s="185" t="s">
        <v>30</v>
      </c>
      <c r="P3" s="185" t="s">
        <v>9</v>
      </c>
      <c r="Q3" s="185"/>
      <c r="R3" s="185"/>
    </row>
    <row r="4" spans="1:18" ht="98.25" customHeight="1">
      <c r="A4" s="194"/>
      <c r="B4" s="195"/>
      <c r="C4" s="185"/>
      <c r="D4" s="185"/>
      <c r="E4" s="185"/>
      <c r="F4" s="185"/>
      <c r="G4" s="185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5"/>
      <c r="N4" s="185"/>
      <c r="O4" s="185"/>
      <c r="P4" s="122" t="s">
        <v>118</v>
      </c>
      <c r="Q4" s="122" t="s">
        <v>121</v>
      </c>
      <c r="R4" s="122" t="s">
        <v>132</v>
      </c>
    </row>
    <row r="5" spans="1:18" ht="21" customHeight="1">
      <c r="A5" s="51" t="s">
        <v>21</v>
      </c>
      <c r="B5" s="52"/>
      <c r="C5" s="84">
        <f aca="true" t="shared" si="0" ref="C5:H5">C6+C15+C17+C22+C23+C10</f>
        <v>999.8000000000001</v>
      </c>
      <c r="D5" s="84">
        <f t="shared" si="0"/>
        <v>19.753</v>
      </c>
      <c r="E5" s="84">
        <f t="shared" si="0"/>
        <v>1019.553</v>
      </c>
      <c r="F5" s="84" t="e">
        <f t="shared" si="0"/>
        <v>#REF!</v>
      </c>
      <c r="G5" s="84">
        <f t="shared" si="0"/>
        <v>445.7</v>
      </c>
      <c r="H5" s="84">
        <f t="shared" si="0"/>
        <v>523.5</v>
      </c>
      <c r="I5" s="64">
        <f aca="true" t="shared" si="1" ref="I5:I39">IF(E5&gt;0,H5/E5,0)</f>
        <v>0.5134603105478578</v>
      </c>
      <c r="J5" s="64" t="e">
        <f>IF(F5&gt;0,H5/F5,0)</f>
        <v>#REF!</v>
      </c>
      <c r="K5" s="84">
        <f>K6+K15+K17+K22+K23+K10</f>
        <v>405.79999999999995</v>
      </c>
      <c r="L5" s="64">
        <f>IF(K5&gt;0,H5/K5,0)</f>
        <v>1.290044356826023</v>
      </c>
      <c r="M5" s="84">
        <f>M6+M15+M17+M22+M23+M10</f>
        <v>77.80000000000001</v>
      </c>
      <c r="N5" s="84">
        <f>N6+N15+N17+N22+N23+N10</f>
        <v>68.5</v>
      </c>
      <c r="O5" s="64">
        <f aca="true" t="shared" si="2" ref="O5:O31">IF(N5&gt;0,M5/N5,0)</f>
        <v>1.1357664233576643</v>
      </c>
      <c r="P5" s="84">
        <f>P6+P15+P17+P22+P23+P10</f>
        <v>15.999999999999998</v>
      </c>
      <c r="Q5" s="84">
        <f>Q6+Q15+Q17+Q22+Q23+Q10</f>
        <v>14</v>
      </c>
      <c r="R5" s="84">
        <f>R6+R15+R17+R22+R23+R10</f>
        <v>13.7</v>
      </c>
    </row>
    <row r="6" spans="1:19" ht="16.5" customHeight="1">
      <c r="A6" s="9" t="s">
        <v>63</v>
      </c>
      <c r="B6" s="53">
        <v>1010200001</v>
      </c>
      <c r="C6" s="85">
        <f>C7+C8+C9</f>
        <v>442.7</v>
      </c>
      <c r="D6" s="85">
        <f>D7+D8+D9</f>
        <v>0</v>
      </c>
      <c r="E6" s="85">
        <f>E7+E8+E9</f>
        <v>442.7</v>
      </c>
      <c r="F6" s="85" t="e">
        <f>F7+F8+F9+#REF!</f>
        <v>#REF!</v>
      </c>
      <c r="G6" s="85">
        <f>G7+G8+G9</f>
        <v>161.5</v>
      </c>
      <c r="H6" s="85">
        <f>H7+H8+H9</f>
        <v>200.9</v>
      </c>
      <c r="I6" s="66">
        <f t="shared" si="1"/>
        <v>0.45380618929297495</v>
      </c>
      <c r="J6" s="66" t="e">
        <f>IF(F6&gt;0,H6/F6,0)</f>
        <v>#REF!</v>
      </c>
      <c r="K6" s="85">
        <f>K7+K8+K9</f>
        <v>193.29999999999998</v>
      </c>
      <c r="L6" s="66">
        <f aca="true" t="shared" si="3" ref="L6:L39">IF(K6&gt;0,H6/K6,0)</f>
        <v>1.0393171236420073</v>
      </c>
      <c r="M6" s="85">
        <f>M7+M8+M9</f>
        <v>39.4</v>
      </c>
      <c r="N6" s="85">
        <f>N7+N8+N9</f>
        <v>35.6</v>
      </c>
      <c r="O6" s="66">
        <f t="shared" si="2"/>
        <v>1.1067415730337078</v>
      </c>
      <c r="P6" s="85">
        <f>P7+P8+P9</f>
        <v>0.7</v>
      </c>
      <c r="Q6" s="85">
        <f>Q7+Q8+Q9</f>
        <v>0.7</v>
      </c>
      <c r="R6" s="85">
        <f>R7+R8+R9</f>
        <v>0.7</v>
      </c>
      <c r="S6" s="26"/>
    </row>
    <row r="7" spans="1:19" ht="18">
      <c r="A7" s="10" t="s">
        <v>44</v>
      </c>
      <c r="B7" s="13">
        <v>1010201001</v>
      </c>
      <c r="C7" s="71">
        <v>442.7</v>
      </c>
      <c r="D7" s="68"/>
      <c r="E7" s="67">
        <f>C7+D7</f>
        <v>442.7</v>
      </c>
      <c r="F7" s="67"/>
      <c r="G7" s="68">
        <v>161.5</v>
      </c>
      <c r="H7" s="69">
        <f>G7+M7</f>
        <v>200.9</v>
      </c>
      <c r="I7" s="70">
        <f t="shared" si="1"/>
        <v>0.45380618929297495</v>
      </c>
      <c r="J7" s="70">
        <f aca="true" t="shared" si="4" ref="J7:J39">IF(F7&gt;0,H7/F7,0)</f>
        <v>0</v>
      </c>
      <c r="K7" s="68">
        <v>193.2</v>
      </c>
      <c r="L7" s="70">
        <f t="shared" si="3"/>
        <v>1.0398550724637683</v>
      </c>
      <c r="M7" s="68">
        <v>39.4</v>
      </c>
      <c r="N7" s="68">
        <v>35.5</v>
      </c>
      <c r="O7" s="70">
        <f t="shared" si="2"/>
        <v>1.1098591549295773</v>
      </c>
      <c r="P7" s="71">
        <v>0.4</v>
      </c>
      <c r="Q7" s="71">
        <v>0.4</v>
      </c>
      <c r="R7" s="71">
        <v>0.4</v>
      </c>
      <c r="S7" s="172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/>
      <c r="D9" s="71"/>
      <c r="E9" s="67">
        <f>C9+D9</f>
        <v>0</v>
      </c>
      <c r="F9" s="67"/>
      <c r="G9" s="71"/>
      <c r="H9" s="69">
        <f>G9+M9</f>
        <v>0</v>
      </c>
      <c r="I9" s="70">
        <f t="shared" si="1"/>
        <v>0</v>
      </c>
      <c r="J9" s="70">
        <f t="shared" si="4"/>
        <v>0</v>
      </c>
      <c r="K9" s="71">
        <v>0.1</v>
      </c>
      <c r="L9" s="70">
        <f t="shared" si="3"/>
        <v>0</v>
      </c>
      <c r="M9" s="71"/>
      <c r="N9" s="71">
        <v>0.1</v>
      </c>
      <c r="O9" s="70">
        <f t="shared" si="2"/>
        <v>0</v>
      </c>
      <c r="P9" s="71">
        <v>0.3</v>
      </c>
      <c r="Q9" s="71">
        <v>0.3</v>
      </c>
      <c r="R9" s="71">
        <v>0.3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404.1</v>
      </c>
      <c r="D10" s="72">
        <f t="shared" si="5"/>
        <v>0</v>
      </c>
      <c r="E10" s="72">
        <f t="shared" si="5"/>
        <v>404.1</v>
      </c>
      <c r="F10" s="72"/>
      <c r="G10" s="72">
        <f>SUM(G11:G14)</f>
        <v>179.89999999999998</v>
      </c>
      <c r="H10" s="72">
        <f t="shared" si="5"/>
        <v>218.09999999999997</v>
      </c>
      <c r="I10" s="66">
        <f t="shared" si="1"/>
        <v>0.5397178916109873</v>
      </c>
      <c r="J10" s="66">
        <f>IF(F10&gt;0,H10/F10,0)</f>
        <v>0</v>
      </c>
      <c r="K10" s="72">
        <f>SUM(K11:K14)</f>
        <v>179.6</v>
      </c>
      <c r="L10" s="66">
        <f t="shared" si="3"/>
        <v>1.2143652561247213</v>
      </c>
      <c r="M10" s="72">
        <f>SUM(M11:M14)</f>
        <v>38.2</v>
      </c>
      <c r="N10" s="72">
        <f>SUM(N11:N14)</f>
        <v>30.6</v>
      </c>
      <c r="O10" s="66">
        <f t="shared" si="2"/>
        <v>1.2483660130718954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182.7</v>
      </c>
      <c r="D11" s="71"/>
      <c r="E11" s="67">
        <f>C11+D11</f>
        <v>182.7</v>
      </c>
      <c r="F11" s="67"/>
      <c r="G11" s="71">
        <v>88.1</v>
      </c>
      <c r="H11" s="69">
        <f>G11+M11</f>
        <v>107.3</v>
      </c>
      <c r="I11" s="70">
        <f t="shared" si="1"/>
        <v>0.5873015873015873</v>
      </c>
      <c r="J11" s="70">
        <f>IF(F11&gt;0,H11/F11,0)</f>
        <v>0</v>
      </c>
      <c r="K11" s="71">
        <v>81.2</v>
      </c>
      <c r="L11" s="70">
        <f t="shared" si="3"/>
        <v>1.3214285714285714</v>
      </c>
      <c r="M11" s="71">
        <v>19.2</v>
      </c>
      <c r="N11" s="71">
        <v>13.7</v>
      </c>
      <c r="O11" s="70">
        <f t="shared" si="2"/>
        <v>1.4014598540145986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1</v>
      </c>
      <c r="D12" s="71"/>
      <c r="E12" s="67">
        <f>C12+D12</f>
        <v>1</v>
      </c>
      <c r="F12" s="67"/>
      <c r="G12" s="71">
        <v>0.5</v>
      </c>
      <c r="H12" s="69">
        <f>G12+M12</f>
        <v>0.6</v>
      </c>
      <c r="I12" s="70">
        <f t="shared" si="1"/>
        <v>0.6</v>
      </c>
      <c r="J12" s="70">
        <f>IF(F12&gt;0,H12/F12,0)</f>
        <v>0</v>
      </c>
      <c r="K12" s="71">
        <v>0.6</v>
      </c>
      <c r="L12" s="70">
        <f t="shared" si="3"/>
        <v>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243.3</v>
      </c>
      <c r="D13" s="71"/>
      <c r="E13" s="67">
        <f>C13+D13</f>
        <v>243.3</v>
      </c>
      <c r="F13" s="67"/>
      <c r="G13" s="71">
        <v>102.1</v>
      </c>
      <c r="H13" s="69">
        <f>G13+M13</f>
        <v>123.69999999999999</v>
      </c>
      <c r="I13" s="70">
        <f t="shared" si="1"/>
        <v>0.5084258117550349</v>
      </c>
      <c r="J13" s="70">
        <f>IF(F13&gt;0,H13/F13,0)</f>
        <v>0</v>
      </c>
      <c r="K13" s="71">
        <v>112.9</v>
      </c>
      <c r="L13" s="70">
        <f t="shared" si="3"/>
        <v>1.0956598759964569</v>
      </c>
      <c r="M13" s="71">
        <v>21.6</v>
      </c>
      <c r="N13" s="71">
        <v>20.2</v>
      </c>
      <c r="O13" s="70">
        <f t="shared" si="2"/>
        <v>1.0693069306930694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-22.9</v>
      </c>
      <c r="D14" s="71"/>
      <c r="E14" s="67">
        <f>C14+D14</f>
        <v>-22.9</v>
      </c>
      <c r="F14" s="67"/>
      <c r="G14" s="71">
        <v>-10.8</v>
      </c>
      <c r="H14" s="69">
        <f>G14+M14</f>
        <v>-13.5</v>
      </c>
      <c r="I14" s="70">
        <f>H14/E14</f>
        <v>0.5895196506550219</v>
      </c>
      <c r="J14" s="70">
        <f>IF(F14&gt;0,H14/F14,0)</f>
        <v>0</v>
      </c>
      <c r="K14" s="71">
        <v>-15.1</v>
      </c>
      <c r="L14" s="70">
        <f t="shared" si="3"/>
        <v>0</v>
      </c>
      <c r="M14" s="71">
        <v>-2.7</v>
      </c>
      <c r="N14" s="71">
        <v>-3.4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0</v>
      </c>
      <c r="D15" s="129">
        <f t="shared" si="6"/>
        <v>19.753</v>
      </c>
      <c r="E15" s="129">
        <f t="shared" si="6"/>
        <v>19.753</v>
      </c>
      <c r="F15" s="73">
        <f t="shared" si="6"/>
        <v>0</v>
      </c>
      <c r="G15" s="72">
        <f>G16</f>
        <v>44.8</v>
      </c>
      <c r="H15" s="73">
        <f t="shared" si="6"/>
        <v>44.8</v>
      </c>
      <c r="I15" s="66">
        <f t="shared" si="1"/>
        <v>2.268009922543411</v>
      </c>
      <c r="J15" s="66">
        <f t="shared" si="4"/>
        <v>0</v>
      </c>
      <c r="K15" s="72">
        <f>K16</f>
        <v>-0.3</v>
      </c>
      <c r="L15" s="66">
        <f t="shared" si="3"/>
        <v>0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/>
      <c r="D16" s="83">
        <v>19.753</v>
      </c>
      <c r="E16" s="67">
        <f>C16+D16</f>
        <v>19.753</v>
      </c>
      <c r="F16" s="67">
        <f>1-1</f>
        <v>0</v>
      </c>
      <c r="G16" s="71">
        <v>44.8</v>
      </c>
      <c r="H16" s="69">
        <f>G16+M16</f>
        <v>44.8</v>
      </c>
      <c r="I16" s="70">
        <f t="shared" si="1"/>
        <v>2.268009922543411</v>
      </c>
      <c r="J16" s="70">
        <f t="shared" si="4"/>
        <v>0</v>
      </c>
      <c r="K16" s="71">
        <v>-0.3</v>
      </c>
      <c r="L16" s="70">
        <f t="shared" si="3"/>
        <v>0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150</v>
      </c>
      <c r="D17" s="126">
        <f t="shared" si="7"/>
        <v>0</v>
      </c>
      <c r="E17" s="73">
        <f t="shared" si="7"/>
        <v>150</v>
      </c>
      <c r="F17" s="73">
        <f t="shared" si="7"/>
        <v>0</v>
      </c>
      <c r="G17" s="72">
        <f>G18+G21</f>
        <v>59.199999999999996</v>
      </c>
      <c r="H17" s="73">
        <f t="shared" si="7"/>
        <v>59.4</v>
      </c>
      <c r="I17" s="66">
        <f t="shared" si="1"/>
        <v>0.39599999999999996</v>
      </c>
      <c r="J17" s="66">
        <f t="shared" si="4"/>
        <v>0</v>
      </c>
      <c r="K17" s="72">
        <f>K18+K21</f>
        <v>31.5</v>
      </c>
      <c r="L17" s="66">
        <f t="shared" si="3"/>
        <v>1.8857142857142857</v>
      </c>
      <c r="M17" s="72">
        <f>M18+M21</f>
        <v>0.19999999999999998</v>
      </c>
      <c r="N17" s="72">
        <f>N18+N21</f>
        <v>2.3</v>
      </c>
      <c r="O17" s="66">
        <f t="shared" si="2"/>
        <v>0.08695652173913043</v>
      </c>
      <c r="P17" s="72">
        <f>P18+P21</f>
        <v>15.299999999999999</v>
      </c>
      <c r="Q17" s="72">
        <f>Q18+Q21</f>
        <v>13.3</v>
      </c>
      <c r="R17" s="72">
        <f>R18+R21</f>
        <v>13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141</v>
      </c>
      <c r="D18" s="74">
        <f t="shared" si="8"/>
        <v>0</v>
      </c>
      <c r="E18" s="68">
        <f t="shared" si="8"/>
        <v>141</v>
      </c>
      <c r="F18" s="68">
        <f t="shared" si="8"/>
        <v>0</v>
      </c>
      <c r="G18" s="74">
        <f>G19+G20</f>
        <v>59.4</v>
      </c>
      <c r="H18" s="68">
        <f t="shared" si="8"/>
        <v>59.699999999999996</v>
      </c>
      <c r="I18" s="70">
        <f t="shared" si="1"/>
        <v>0.4234042553191489</v>
      </c>
      <c r="J18" s="70">
        <f t="shared" si="4"/>
        <v>0</v>
      </c>
      <c r="K18" s="74">
        <f>K19+K20</f>
        <v>29.9</v>
      </c>
      <c r="L18" s="70">
        <f t="shared" si="3"/>
        <v>1.9966555183946488</v>
      </c>
      <c r="M18" s="74">
        <f>M19+M20</f>
        <v>0.3</v>
      </c>
      <c r="N18" s="74">
        <f>N19+N20</f>
        <v>0.9</v>
      </c>
      <c r="O18" s="70">
        <f t="shared" si="2"/>
        <v>0.3333333333333333</v>
      </c>
      <c r="P18" s="71">
        <f>P19+P20</f>
        <v>12.2</v>
      </c>
      <c r="Q18" s="71">
        <f>Q19+Q20</f>
        <v>10.6</v>
      </c>
      <c r="R18" s="71">
        <f>R19+R20</f>
        <v>10.3</v>
      </c>
      <c r="S18" s="26"/>
    </row>
    <row r="19" spans="1:19" ht="18">
      <c r="A19" s="13" t="s">
        <v>100</v>
      </c>
      <c r="B19" s="13">
        <v>1060603310</v>
      </c>
      <c r="C19" s="71">
        <v>96</v>
      </c>
      <c r="D19" s="68"/>
      <c r="E19" s="67">
        <f>C19+D19</f>
        <v>96</v>
      </c>
      <c r="F19" s="67"/>
      <c r="G19" s="71">
        <v>58.4</v>
      </c>
      <c r="H19" s="69">
        <f>G19+M19</f>
        <v>58.9</v>
      </c>
      <c r="I19" s="70">
        <f t="shared" si="1"/>
        <v>0.6135416666666667</v>
      </c>
      <c r="J19" s="70">
        <f t="shared" si="4"/>
        <v>0</v>
      </c>
      <c r="K19" s="71">
        <v>26.2</v>
      </c>
      <c r="L19" s="70">
        <f t="shared" si="3"/>
        <v>2.2480916030534353</v>
      </c>
      <c r="M19" s="71">
        <v>0.5</v>
      </c>
      <c r="N19" s="71">
        <v>-0.1</v>
      </c>
      <c r="O19" s="70">
        <f t="shared" si="2"/>
        <v>0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45</v>
      </c>
      <c r="D20" s="68"/>
      <c r="E20" s="67">
        <f>C20+D20</f>
        <v>45</v>
      </c>
      <c r="F20" s="67"/>
      <c r="G20" s="71">
        <v>1</v>
      </c>
      <c r="H20" s="69">
        <f>G20+M20</f>
        <v>0.8</v>
      </c>
      <c r="I20" s="70">
        <f t="shared" si="1"/>
        <v>0.017777777777777778</v>
      </c>
      <c r="J20" s="70">
        <f t="shared" si="4"/>
        <v>0</v>
      </c>
      <c r="K20" s="71">
        <v>3.7</v>
      </c>
      <c r="L20" s="70">
        <f t="shared" si="3"/>
        <v>0.21621621621621623</v>
      </c>
      <c r="M20" s="71">
        <v>-0.2</v>
      </c>
      <c r="N20" s="71">
        <v>1</v>
      </c>
      <c r="O20" s="70">
        <f t="shared" si="2"/>
        <v>-0.2</v>
      </c>
      <c r="P20" s="71">
        <v>12.2</v>
      </c>
      <c r="Q20" s="71">
        <v>10.6</v>
      </c>
      <c r="R20" s="71">
        <v>10.3</v>
      </c>
      <c r="S20" s="173"/>
      <c r="T20" s="159"/>
    </row>
    <row r="21" spans="1:20" ht="18">
      <c r="A21" s="13" t="s">
        <v>12</v>
      </c>
      <c r="B21" s="13">
        <v>1060103010</v>
      </c>
      <c r="C21" s="71">
        <v>9</v>
      </c>
      <c r="D21" s="68"/>
      <c r="E21" s="67">
        <f>C21+D21</f>
        <v>9</v>
      </c>
      <c r="F21" s="67"/>
      <c r="G21" s="71">
        <v>-0.2</v>
      </c>
      <c r="H21" s="69">
        <f>G21+M21</f>
        <v>-0.30000000000000004</v>
      </c>
      <c r="I21" s="70">
        <f t="shared" si="1"/>
        <v>-0.03333333333333334</v>
      </c>
      <c r="J21" s="70">
        <f t="shared" si="4"/>
        <v>0</v>
      </c>
      <c r="K21" s="71">
        <v>1.6</v>
      </c>
      <c r="L21" s="70">
        <f t="shared" si="3"/>
        <v>-0.18750000000000003</v>
      </c>
      <c r="M21" s="71">
        <v>-0.1</v>
      </c>
      <c r="N21" s="71">
        <v>1.4</v>
      </c>
      <c r="O21" s="70">
        <f t="shared" si="2"/>
        <v>-0.07142857142857144</v>
      </c>
      <c r="P21" s="71">
        <v>3.1</v>
      </c>
      <c r="Q21" s="71">
        <v>2.7</v>
      </c>
      <c r="R21" s="71">
        <v>2.7</v>
      </c>
      <c r="S21" s="173"/>
      <c r="T21" s="159"/>
    </row>
    <row r="22" spans="1:19" ht="18">
      <c r="A22" s="30" t="s">
        <v>72</v>
      </c>
      <c r="B22" s="30">
        <v>1080402001</v>
      </c>
      <c r="C22" s="72">
        <v>3</v>
      </c>
      <c r="D22" s="73"/>
      <c r="E22" s="65">
        <f>C22+D22</f>
        <v>3</v>
      </c>
      <c r="F22" s="65"/>
      <c r="G22" s="72">
        <v>0.3</v>
      </c>
      <c r="H22" s="75">
        <f>G22+M22</f>
        <v>0.3</v>
      </c>
      <c r="I22" s="66">
        <f t="shared" si="1"/>
        <v>0.09999999999999999</v>
      </c>
      <c r="J22" s="66">
        <f t="shared" si="4"/>
        <v>0</v>
      </c>
      <c r="K22" s="72">
        <v>1.7</v>
      </c>
      <c r="L22" s="66">
        <f t="shared" si="3"/>
        <v>0.17647058823529413</v>
      </c>
      <c r="M22" s="72"/>
      <c r="N22" s="72"/>
      <c r="O22" s="66">
        <f t="shared" si="2"/>
        <v>0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330</v>
      </c>
      <c r="D24" s="152">
        <f t="shared" si="9"/>
        <v>85.652</v>
      </c>
      <c r="E24" s="152">
        <f t="shared" si="9"/>
        <v>415.652</v>
      </c>
      <c r="F24" s="86">
        <f t="shared" si="9"/>
        <v>0</v>
      </c>
      <c r="G24" s="86">
        <f>G25+G28+G32+G29+G31+G30</f>
        <v>146.79999999999998</v>
      </c>
      <c r="H24" s="86">
        <f t="shared" si="9"/>
        <v>171.6</v>
      </c>
      <c r="I24" s="64">
        <f t="shared" si="1"/>
        <v>0.4128453610231636</v>
      </c>
      <c r="J24" s="64">
        <f t="shared" si="4"/>
        <v>0</v>
      </c>
      <c r="K24" s="86">
        <f>K25+K28+K32+K29+K31+K30</f>
        <v>202.89999999999998</v>
      </c>
      <c r="L24" s="64">
        <f t="shared" si="3"/>
        <v>0.8457368161655989</v>
      </c>
      <c r="M24" s="86">
        <f>M25+M28+M32+M29+M31+M30</f>
        <v>24.8</v>
      </c>
      <c r="N24" s="86">
        <f>N25+N28+N32+N29+N31+N30</f>
        <v>67.2</v>
      </c>
      <c r="O24" s="64">
        <f t="shared" si="2"/>
        <v>0.36904761904761907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30</v>
      </c>
      <c r="D25" s="72">
        <f t="shared" si="10"/>
        <v>0</v>
      </c>
      <c r="E25" s="72">
        <f t="shared" si="10"/>
        <v>30</v>
      </c>
      <c r="F25" s="72">
        <f t="shared" si="10"/>
        <v>0</v>
      </c>
      <c r="G25" s="72">
        <f>G26+G27</f>
        <v>18.2</v>
      </c>
      <c r="H25" s="72">
        <f t="shared" si="10"/>
        <v>24.9</v>
      </c>
      <c r="I25" s="87">
        <f t="shared" si="1"/>
        <v>0.83</v>
      </c>
      <c r="J25" s="87">
        <f t="shared" si="4"/>
        <v>0</v>
      </c>
      <c r="K25" s="72">
        <f>K26+K27</f>
        <v>14.7</v>
      </c>
      <c r="L25" s="87">
        <f t="shared" si="3"/>
        <v>1.693877551020408</v>
      </c>
      <c r="M25" s="72">
        <f>M26+M27</f>
        <v>6.7</v>
      </c>
      <c r="N25" s="72">
        <f>N26+N27</f>
        <v>7.8</v>
      </c>
      <c r="O25" s="87">
        <f t="shared" si="2"/>
        <v>0.858974358974359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24" customHeight="1">
      <c r="A26" s="28" t="s">
        <v>112</v>
      </c>
      <c r="B26" s="181">
        <v>1110507510</v>
      </c>
      <c r="C26" s="71">
        <v>12</v>
      </c>
      <c r="D26" s="68"/>
      <c r="E26" s="71">
        <f>C26+D26</f>
        <v>12</v>
      </c>
      <c r="F26" s="71"/>
      <c r="G26" s="71">
        <v>6.1</v>
      </c>
      <c r="H26" s="68">
        <f aca="true" t="shared" si="11" ref="H26:H31">G26+M26</f>
        <v>6.1</v>
      </c>
      <c r="I26" s="77">
        <f t="shared" si="1"/>
        <v>0.5083333333333333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18</v>
      </c>
      <c r="D27" s="83"/>
      <c r="E27" s="71">
        <f>C27+D27</f>
        <v>18</v>
      </c>
      <c r="F27" s="71"/>
      <c r="G27" s="71">
        <v>12.1</v>
      </c>
      <c r="H27" s="68">
        <f t="shared" si="11"/>
        <v>18.8</v>
      </c>
      <c r="I27" s="77">
        <f t="shared" si="1"/>
        <v>1.0444444444444445</v>
      </c>
      <c r="J27" s="77">
        <f t="shared" si="4"/>
        <v>0</v>
      </c>
      <c r="K27" s="71">
        <v>14.7</v>
      </c>
      <c r="L27" s="77">
        <f t="shared" si="3"/>
        <v>1.2789115646258504</v>
      </c>
      <c r="M27" s="71">
        <v>6.7</v>
      </c>
      <c r="N27" s="71">
        <v>7.8</v>
      </c>
      <c r="O27" s="77">
        <f t="shared" si="2"/>
        <v>0.858974358974359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300</v>
      </c>
      <c r="D28" s="72">
        <v>85.652</v>
      </c>
      <c r="E28" s="72">
        <f>C28+D28</f>
        <v>385.652</v>
      </c>
      <c r="F28" s="72"/>
      <c r="G28" s="72">
        <v>128.5</v>
      </c>
      <c r="H28" s="73">
        <f t="shared" si="11"/>
        <v>146.5</v>
      </c>
      <c r="I28" s="87">
        <f t="shared" si="1"/>
        <v>0.3798761577795526</v>
      </c>
      <c r="J28" s="87">
        <f t="shared" si="4"/>
        <v>0</v>
      </c>
      <c r="K28" s="72">
        <v>188.1</v>
      </c>
      <c r="L28" s="87">
        <f t="shared" si="3"/>
        <v>0.7788410419989368</v>
      </c>
      <c r="M28" s="72">
        <v>18</v>
      </c>
      <c r="N28" s="72">
        <v>59.4</v>
      </c>
      <c r="O28" s="87">
        <f t="shared" si="2"/>
        <v>0.30303030303030304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0.1</v>
      </c>
      <c r="H32" s="72">
        <f t="shared" si="12"/>
        <v>0.2</v>
      </c>
      <c r="I32" s="87">
        <f>IF(E32&gt;0,H32/E32,0)</f>
        <v>0</v>
      </c>
      <c r="J32" s="87">
        <f>IF(F32&gt;0,H32/F32,0)</f>
        <v>0</v>
      </c>
      <c r="K32" s="72">
        <f>SUM(K33:K34)</f>
        <v>0.1</v>
      </c>
      <c r="L32" s="87">
        <f t="shared" si="3"/>
        <v>2</v>
      </c>
      <c r="M32" s="72">
        <f>SUM(M33:M34)</f>
        <v>0.1</v>
      </c>
      <c r="N32" s="72">
        <f>SUM(N33:N34)</f>
        <v>0</v>
      </c>
      <c r="O32" s="72">
        <f t="shared" si="12"/>
        <v>0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4"/>
      <c r="T32" s="159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0.1</v>
      </c>
      <c r="H34" s="68">
        <f>G34+M34</f>
        <v>0.2</v>
      </c>
      <c r="I34" s="77">
        <f>IF(E34&gt;0,H34/E34,0)</f>
        <v>0</v>
      </c>
      <c r="J34" s="77">
        <f>IF(F34&gt;0,H34/F34,0)</f>
        <v>0</v>
      </c>
      <c r="K34" s="71">
        <v>0.1</v>
      </c>
      <c r="L34" s="77">
        <f>IF(K34&gt;0,H34/K34,0)</f>
        <v>2</v>
      </c>
      <c r="M34" s="71">
        <v>0.1</v>
      </c>
      <c r="N34" s="71"/>
      <c r="O34" s="77">
        <f t="shared" si="13"/>
        <v>0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1329.8000000000002</v>
      </c>
      <c r="D35" s="78">
        <f t="shared" si="14"/>
        <v>105.405</v>
      </c>
      <c r="E35" s="78">
        <f t="shared" si="14"/>
        <v>1435.205</v>
      </c>
      <c r="F35" s="79" t="e">
        <f t="shared" si="14"/>
        <v>#REF!</v>
      </c>
      <c r="G35" s="79">
        <f>G5+G24</f>
        <v>592.5</v>
      </c>
      <c r="H35" s="79">
        <f t="shared" si="14"/>
        <v>695.1</v>
      </c>
      <c r="I35" s="80">
        <f t="shared" si="1"/>
        <v>0.48432105518027047</v>
      </c>
      <c r="J35" s="80" t="e">
        <f t="shared" si="4"/>
        <v>#REF!</v>
      </c>
      <c r="K35" s="79">
        <f>K5+K24</f>
        <v>608.6999999999999</v>
      </c>
      <c r="L35" s="80">
        <f t="shared" si="3"/>
        <v>1.1419418432725483</v>
      </c>
      <c r="M35" s="79">
        <f>M5+M24</f>
        <v>102.60000000000001</v>
      </c>
      <c r="N35" s="79">
        <f>N5+N24</f>
        <v>135.7</v>
      </c>
      <c r="O35" s="80">
        <f t="shared" si="13"/>
        <v>0.7560795873249817</v>
      </c>
      <c r="P35" s="79">
        <f>P5+P24</f>
        <v>15.999999999999998</v>
      </c>
      <c r="Q35" s="79">
        <f>Q5+Q24</f>
        <v>14</v>
      </c>
      <c r="R35" s="79">
        <f>R5+R24</f>
        <v>13.7</v>
      </c>
      <c r="S35" s="26"/>
    </row>
    <row r="36" spans="1:19" ht="18">
      <c r="A36" s="9" t="s">
        <v>92</v>
      </c>
      <c r="B36" s="9"/>
      <c r="C36" s="79">
        <f aca="true" t="shared" si="15" ref="C36:H36">C35-C10</f>
        <v>925.7000000000002</v>
      </c>
      <c r="D36" s="78">
        <f t="shared" si="15"/>
        <v>105.405</v>
      </c>
      <c r="E36" s="78">
        <f t="shared" si="15"/>
        <v>1031.105</v>
      </c>
      <c r="F36" s="79" t="e">
        <f t="shared" si="15"/>
        <v>#REF!</v>
      </c>
      <c r="G36" s="79">
        <f>G35-G10</f>
        <v>412.6</v>
      </c>
      <c r="H36" s="79">
        <f t="shared" si="15"/>
        <v>477.00000000000006</v>
      </c>
      <c r="I36" s="80">
        <f>IF(E36&gt;0,H36/E36,0)</f>
        <v>0.46261050038550877</v>
      </c>
      <c r="J36" s="80" t="e">
        <f>IF(F36&gt;0,H36/F36,0)</f>
        <v>#REF!</v>
      </c>
      <c r="K36" s="79">
        <f>K35-K10</f>
        <v>429.0999999999999</v>
      </c>
      <c r="L36" s="80">
        <f t="shared" si="3"/>
        <v>1.1116289909112098</v>
      </c>
      <c r="M36" s="79">
        <f>M35-M10</f>
        <v>64.4</v>
      </c>
      <c r="N36" s="79">
        <f>N35-N10</f>
        <v>105.1</v>
      </c>
      <c r="O36" s="80">
        <f t="shared" si="13"/>
        <v>0.6127497621313036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2839.8</v>
      </c>
      <c r="D37" s="83">
        <f>80</f>
        <v>80</v>
      </c>
      <c r="E37" s="81">
        <f>C37+D37</f>
        <v>2919.8</v>
      </c>
      <c r="F37" s="67"/>
      <c r="G37" s="71">
        <v>1140.6</v>
      </c>
      <c r="H37" s="68">
        <f>G37+M37</f>
        <v>1363.6</v>
      </c>
      <c r="I37" s="70">
        <f t="shared" si="1"/>
        <v>0.46701828892389885</v>
      </c>
      <c r="J37" s="70">
        <f t="shared" si="4"/>
        <v>0</v>
      </c>
      <c r="K37" s="71">
        <v>1121.8</v>
      </c>
      <c r="L37" s="70">
        <f t="shared" si="3"/>
        <v>1.2155464432162595</v>
      </c>
      <c r="M37" s="71">
        <v>223</v>
      </c>
      <c r="N37" s="71">
        <v>185.8</v>
      </c>
      <c r="O37" s="70">
        <f t="shared" si="13"/>
        <v>1.2002152852529602</v>
      </c>
      <c r="P37" s="71"/>
      <c r="Q37" s="71"/>
      <c r="R37" s="71"/>
      <c r="S37" s="175"/>
    </row>
    <row r="38" spans="1:19" ht="18">
      <c r="A38" s="13" t="s">
        <v>46</v>
      </c>
      <c r="B38" s="34" t="s">
        <v>37</v>
      </c>
      <c r="C38" s="71"/>
      <c r="D38" s="83"/>
      <c r="E38" s="67">
        <f>C38+D38</f>
        <v>0</v>
      </c>
      <c r="F38" s="67"/>
      <c r="G38" s="71"/>
      <c r="H38" s="68">
        <f>G38+M38</f>
        <v>0</v>
      </c>
      <c r="I38" s="70">
        <f>IF(E38&gt;0,H38/E38,0)</f>
        <v>0</v>
      </c>
      <c r="J38" s="70">
        <f>IF(F38&gt;0,H38/F38,0)</f>
        <v>0</v>
      </c>
      <c r="K38" s="71"/>
      <c r="L38" s="70">
        <f t="shared" si="3"/>
        <v>0</v>
      </c>
      <c r="M38" s="71"/>
      <c r="N38" s="71"/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4169.6</v>
      </c>
      <c r="D39" s="78">
        <f t="shared" si="16"/>
        <v>185.405</v>
      </c>
      <c r="E39" s="78">
        <f t="shared" si="16"/>
        <v>4355.005</v>
      </c>
      <c r="F39" s="79" t="e">
        <f t="shared" si="16"/>
        <v>#REF!</v>
      </c>
      <c r="G39" s="79">
        <f t="shared" si="16"/>
        <v>1733.1</v>
      </c>
      <c r="H39" s="79">
        <f t="shared" si="16"/>
        <v>2058.7</v>
      </c>
      <c r="I39" s="80">
        <f t="shared" si="1"/>
        <v>0.4727204675999223</v>
      </c>
      <c r="J39" s="80" t="e">
        <f t="shared" si="4"/>
        <v>#REF!</v>
      </c>
      <c r="K39" s="79">
        <f>K35+K37+K38</f>
        <v>1730.5</v>
      </c>
      <c r="L39" s="80">
        <f t="shared" si="3"/>
        <v>1.189656168737359</v>
      </c>
      <c r="M39" s="88">
        <f>M35+M37+M38</f>
        <v>325.6</v>
      </c>
      <c r="N39" s="79">
        <f>N35+N37+N38</f>
        <v>321.5</v>
      </c>
      <c r="O39" s="80">
        <f t="shared" si="13"/>
        <v>1.0127527216174184</v>
      </c>
      <c r="P39" s="79">
        <f>P35+P37</f>
        <v>15.999999999999998</v>
      </c>
      <c r="Q39" s="79">
        <f>Q35+Q37</f>
        <v>14</v>
      </c>
      <c r="R39" s="79">
        <f>R35+R37</f>
        <v>13.7</v>
      </c>
      <c r="S39" s="26"/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3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91" t="s">
        <v>11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49"/>
      <c r="O1" s="49"/>
      <c r="P1" s="26"/>
      <c r="Q1" s="26"/>
      <c r="R1" s="26"/>
    </row>
    <row r="2" spans="1:18" ht="15.75">
      <c r="A2" s="26"/>
      <c r="B2" s="196" t="s">
        <v>128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3.5" customHeight="1">
      <c r="A3" s="185" t="s">
        <v>3</v>
      </c>
      <c r="B3" s="185" t="s">
        <v>4</v>
      </c>
      <c r="C3" s="185" t="s">
        <v>115</v>
      </c>
      <c r="D3" s="185" t="s">
        <v>24</v>
      </c>
      <c r="E3" s="185" t="s">
        <v>116</v>
      </c>
      <c r="F3" s="185" t="s">
        <v>99</v>
      </c>
      <c r="G3" s="185" t="s">
        <v>120</v>
      </c>
      <c r="H3" s="185" t="s">
        <v>117</v>
      </c>
      <c r="I3" s="185"/>
      <c r="J3" s="185"/>
      <c r="K3" s="185" t="s">
        <v>113</v>
      </c>
      <c r="L3" s="185"/>
      <c r="M3" s="185" t="s">
        <v>123</v>
      </c>
      <c r="N3" s="185" t="s">
        <v>124</v>
      </c>
      <c r="O3" s="185" t="s">
        <v>30</v>
      </c>
      <c r="P3" s="185" t="s">
        <v>9</v>
      </c>
      <c r="Q3" s="185"/>
      <c r="R3" s="185"/>
    </row>
    <row r="4" spans="1:18" ht="93.75" customHeight="1">
      <c r="A4" s="195"/>
      <c r="B4" s="195"/>
      <c r="C4" s="185"/>
      <c r="D4" s="185"/>
      <c r="E4" s="185"/>
      <c r="F4" s="185"/>
      <c r="G4" s="185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5"/>
      <c r="N4" s="185"/>
      <c r="O4" s="185"/>
      <c r="P4" s="122" t="s">
        <v>118</v>
      </c>
      <c r="Q4" s="122" t="s">
        <v>121</v>
      </c>
      <c r="R4" s="122" t="s">
        <v>132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1483.9</v>
      </c>
      <c r="D5" s="89">
        <f t="shared" si="0"/>
        <v>0</v>
      </c>
      <c r="E5" s="141">
        <f t="shared" si="0"/>
        <v>1483.9</v>
      </c>
      <c r="F5" s="89" t="e">
        <f t="shared" si="0"/>
        <v>#REF!</v>
      </c>
      <c r="G5" s="89">
        <f t="shared" si="0"/>
        <v>696.6</v>
      </c>
      <c r="H5" s="89">
        <f t="shared" si="0"/>
        <v>821.1</v>
      </c>
      <c r="I5" s="90">
        <f aca="true" t="shared" si="1" ref="I5:I40">IF(E5&gt;0,H5/E5,0)</f>
        <v>0.5533391737987735</v>
      </c>
      <c r="J5" s="90" t="e">
        <f>IF(F5&gt;0,H5/F5,0)</f>
        <v>#REF!</v>
      </c>
      <c r="K5" s="89">
        <f>K6+K15+K17+K22+K23+K10</f>
        <v>703.9000000000001</v>
      </c>
      <c r="L5" s="90">
        <f>IF(K5&gt;0,H5/K5,0)</f>
        <v>1.166500923426623</v>
      </c>
      <c r="M5" s="89">
        <f>M6+M15+M17+M22+M23+M10</f>
        <v>124.5</v>
      </c>
      <c r="N5" s="89">
        <f>N6+N15+N17+N22+N23+N10</f>
        <v>100.1</v>
      </c>
      <c r="O5" s="90">
        <f aca="true" t="shared" si="2" ref="O5:O33">IF(N5&gt;0,M5/N5,0)</f>
        <v>1.2437562437562437</v>
      </c>
      <c r="P5" s="89">
        <f>P6+P15+P17+P22+P23+P10</f>
        <v>25.8</v>
      </c>
      <c r="Q5" s="89">
        <f>Q6+Q15+Q17+Q22+Q23+Q10</f>
        <v>18.6</v>
      </c>
      <c r="R5" s="89">
        <f>R6+R15+R17+R22+R23+R10</f>
        <v>19.7</v>
      </c>
    </row>
    <row r="6" spans="1:18" ht="18">
      <c r="A6" s="9" t="s">
        <v>63</v>
      </c>
      <c r="B6" s="30">
        <v>1010200001</v>
      </c>
      <c r="C6" s="72">
        <f>C7+C8+C9</f>
        <v>590.9</v>
      </c>
      <c r="D6" s="72">
        <f>D7+D8+D9</f>
        <v>0</v>
      </c>
      <c r="E6" s="72">
        <f>E7+E8+E9</f>
        <v>590.9</v>
      </c>
      <c r="F6" s="72" t="e">
        <f>F7+F8+F9+#REF!</f>
        <v>#REF!</v>
      </c>
      <c r="G6" s="72">
        <f>G7+G8+G9</f>
        <v>271.1</v>
      </c>
      <c r="H6" s="72">
        <f>H7+H8+H9</f>
        <v>325.1</v>
      </c>
      <c r="I6" s="87">
        <f t="shared" si="1"/>
        <v>0.5501776950414622</v>
      </c>
      <c r="J6" s="87" t="e">
        <f>IF(F6&gt;0,H6/F6,0)</f>
        <v>#REF!</v>
      </c>
      <c r="K6" s="72">
        <f>K7+K8+K9</f>
        <v>274.8</v>
      </c>
      <c r="L6" s="87">
        <f aca="true" t="shared" si="3" ref="L6:L40">IF(K6&gt;0,H6/K6,0)</f>
        <v>1.1830422125181952</v>
      </c>
      <c r="M6" s="72">
        <f>M7+M8+M9</f>
        <v>54</v>
      </c>
      <c r="N6" s="72">
        <f>N7+N8+N9</f>
        <v>40.4</v>
      </c>
      <c r="O6" s="87">
        <f t="shared" si="2"/>
        <v>1.3366336633663367</v>
      </c>
      <c r="P6" s="72">
        <f>P7+P8+P9</f>
        <v>0.2</v>
      </c>
      <c r="Q6" s="72">
        <f>Q7+Q8+Q9</f>
        <v>0</v>
      </c>
      <c r="R6" s="72">
        <f>R7+R8+R9</f>
        <v>0.2</v>
      </c>
    </row>
    <row r="7" spans="1:18" ht="18" customHeight="1">
      <c r="A7" s="10" t="s">
        <v>44</v>
      </c>
      <c r="B7" s="13">
        <v>1010201001</v>
      </c>
      <c r="C7" s="71">
        <v>590.9</v>
      </c>
      <c r="D7" s="83"/>
      <c r="E7" s="71">
        <f>C7+D7</f>
        <v>590.9</v>
      </c>
      <c r="F7" s="71"/>
      <c r="G7" s="68">
        <v>256.8</v>
      </c>
      <c r="H7" s="68">
        <f>G7+M7</f>
        <v>306.8</v>
      </c>
      <c r="I7" s="77">
        <f t="shared" si="1"/>
        <v>0.5192079878151972</v>
      </c>
      <c r="J7" s="77">
        <f aca="true" t="shared" si="4" ref="J7:J40">IF(F7&gt;0,H7/F7,0)</f>
        <v>0</v>
      </c>
      <c r="K7" s="68">
        <v>274.8</v>
      </c>
      <c r="L7" s="77">
        <f t="shared" si="3"/>
        <v>1.1164483260553129</v>
      </c>
      <c r="M7" s="68">
        <v>50</v>
      </c>
      <c r="N7" s="68">
        <v>40.4</v>
      </c>
      <c r="O7" s="77">
        <f t="shared" si="2"/>
        <v>1.2376237623762376</v>
      </c>
      <c r="P7" s="71"/>
      <c r="Q7" s="71"/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14.3</v>
      </c>
      <c r="H9" s="68">
        <f>G9+M9</f>
        <v>18.3</v>
      </c>
      <c r="I9" s="77">
        <f t="shared" si="1"/>
        <v>0</v>
      </c>
      <c r="J9" s="77">
        <f t="shared" si="4"/>
        <v>0</v>
      </c>
      <c r="K9" s="71"/>
      <c r="L9" s="77">
        <f t="shared" si="3"/>
        <v>0</v>
      </c>
      <c r="M9" s="71">
        <v>4</v>
      </c>
      <c r="N9" s="71"/>
      <c r="O9" s="77">
        <f t="shared" si="2"/>
        <v>0</v>
      </c>
      <c r="P9" s="71">
        <v>0.2</v>
      </c>
      <c r="Q9" s="71"/>
      <c r="R9" s="71">
        <v>0.2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728</v>
      </c>
      <c r="D10" s="72">
        <f t="shared" si="5"/>
        <v>0</v>
      </c>
      <c r="E10" s="72">
        <f t="shared" si="5"/>
        <v>728</v>
      </c>
      <c r="F10" s="72"/>
      <c r="G10" s="72">
        <f>SUM(G11:G14)</f>
        <v>326.09999999999997</v>
      </c>
      <c r="H10" s="72">
        <f t="shared" si="5"/>
        <v>395.29999999999995</v>
      </c>
      <c r="I10" s="66">
        <f t="shared" si="1"/>
        <v>0.5429945054945055</v>
      </c>
      <c r="J10" s="66">
        <f>IF(F10&gt;0,H10/F10,0)</f>
        <v>0</v>
      </c>
      <c r="K10" s="72">
        <f>SUM(K11:K14)</f>
        <v>325.5</v>
      </c>
      <c r="L10" s="66">
        <f t="shared" si="3"/>
        <v>1.2144393241167433</v>
      </c>
      <c r="M10" s="72">
        <f>SUM(M11:M14)</f>
        <v>69.2</v>
      </c>
      <c r="N10" s="72">
        <f>SUM(N11:N14)</f>
        <v>55.4</v>
      </c>
      <c r="O10" s="66">
        <f t="shared" si="2"/>
        <v>1.2490974729241877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329.2</v>
      </c>
      <c r="D11" s="71"/>
      <c r="E11" s="67">
        <f>C11+D11</f>
        <v>329.2</v>
      </c>
      <c r="F11" s="67"/>
      <c r="G11" s="71">
        <v>159.7</v>
      </c>
      <c r="H11" s="69">
        <f>G11+M11</f>
        <v>194.6</v>
      </c>
      <c r="I11" s="70">
        <f t="shared" si="1"/>
        <v>0.5911300121506683</v>
      </c>
      <c r="J11" s="70"/>
      <c r="K11" s="71">
        <v>147.3</v>
      </c>
      <c r="L11" s="70">
        <f t="shared" si="3"/>
        <v>1.3211133740665308</v>
      </c>
      <c r="M11" s="71">
        <v>34.9</v>
      </c>
      <c r="N11" s="71">
        <v>24.8</v>
      </c>
      <c r="O11" s="70">
        <f t="shared" si="2"/>
        <v>1.407258064516129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1.8</v>
      </c>
      <c r="D12" s="71"/>
      <c r="E12" s="67">
        <f>C12+D12</f>
        <v>1.8</v>
      </c>
      <c r="F12" s="67"/>
      <c r="G12" s="71">
        <v>1</v>
      </c>
      <c r="H12" s="69">
        <f>G12+M12</f>
        <v>1.2</v>
      </c>
      <c r="I12" s="70">
        <f t="shared" si="1"/>
        <v>0.6666666666666666</v>
      </c>
      <c r="J12" s="70"/>
      <c r="K12" s="71">
        <v>1.1</v>
      </c>
      <c r="L12" s="70">
        <f t="shared" si="3"/>
        <v>1.0909090909090908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438.3</v>
      </c>
      <c r="D13" s="71"/>
      <c r="E13" s="67">
        <f>C13+D13</f>
        <v>438.3</v>
      </c>
      <c r="F13" s="67"/>
      <c r="G13" s="71">
        <v>185</v>
      </c>
      <c r="H13" s="69">
        <f>G13+M13</f>
        <v>224.1</v>
      </c>
      <c r="I13" s="70">
        <f t="shared" si="1"/>
        <v>0.5112936344969199</v>
      </c>
      <c r="J13" s="70"/>
      <c r="K13" s="71">
        <v>204.6</v>
      </c>
      <c r="L13" s="70">
        <f t="shared" si="3"/>
        <v>1.095307917888563</v>
      </c>
      <c r="M13" s="71">
        <v>39.1</v>
      </c>
      <c r="N13" s="71">
        <v>36.6</v>
      </c>
      <c r="O13" s="70">
        <f t="shared" si="2"/>
        <v>1.0683060109289617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-41.3</v>
      </c>
      <c r="D14" s="71"/>
      <c r="E14" s="67">
        <f>C14+D14</f>
        <v>-41.3</v>
      </c>
      <c r="F14" s="67"/>
      <c r="G14" s="71">
        <v>-19.6</v>
      </c>
      <c r="H14" s="69">
        <f>G14+M14</f>
        <v>-24.6</v>
      </c>
      <c r="I14" s="70">
        <f>H14/E14</f>
        <v>0.5956416464891042</v>
      </c>
      <c r="J14" s="70"/>
      <c r="K14" s="71">
        <v>-27.5</v>
      </c>
      <c r="L14" s="70">
        <f t="shared" si="3"/>
        <v>0</v>
      </c>
      <c r="M14" s="71">
        <v>-5</v>
      </c>
      <c r="N14" s="71">
        <v>-6.2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162</v>
      </c>
      <c r="D17" s="73">
        <f t="shared" si="7"/>
        <v>0</v>
      </c>
      <c r="E17" s="73">
        <f t="shared" si="7"/>
        <v>162</v>
      </c>
      <c r="F17" s="73">
        <f t="shared" si="7"/>
        <v>0</v>
      </c>
      <c r="G17" s="72">
        <f>G18+G21</f>
        <v>97.3</v>
      </c>
      <c r="H17" s="73">
        <f t="shared" si="7"/>
        <v>97.6</v>
      </c>
      <c r="I17" s="87">
        <f t="shared" si="1"/>
        <v>0.6024691358024691</v>
      </c>
      <c r="J17" s="87">
        <f t="shared" si="4"/>
        <v>0</v>
      </c>
      <c r="K17" s="72">
        <f>K18+K21</f>
        <v>99.4</v>
      </c>
      <c r="L17" s="87">
        <f t="shared" si="3"/>
        <v>0.9818913480885311</v>
      </c>
      <c r="M17" s="72">
        <f>M18+M21</f>
        <v>0.30000000000000004</v>
      </c>
      <c r="N17" s="72">
        <f>N18+N21</f>
        <v>4.2</v>
      </c>
      <c r="O17" s="87">
        <f t="shared" si="2"/>
        <v>0.07142857142857144</v>
      </c>
      <c r="P17" s="72">
        <f>P18+P21</f>
        <v>25.6</v>
      </c>
      <c r="Q17" s="72">
        <f>Q18+Q21</f>
        <v>18.6</v>
      </c>
      <c r="R17" s="72">
        <f>R18+R21</f>
        <v>19.5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128</v>
      </c>
      <c r="D18" s="68">
        <f t="shared" si="8"/>
        <v>0</v>
      </c>
      <c r="E18" s="68">
        <f t="shared" si="8"/>
        <v>128</v>
      </c>
      <c r="F18" s="68">
        <f t="shared" si="8"/>
        <v>0</v>
      </c>
      <c r="G18" s="71">
        <f>G19+G20</f>
        <v>92.39999999999999</v>
      </c>
      <c r="H18" s="68">
        <f t="shared" si="8"/>
        <v>92.3</v>
      </c>
      <c r="I18" s="77">
        <f t="shared" si="1"/>
        <v>0.72109375</v>
      </c>
      <c r="J18" s="77">
        <f t="shared" si="4"/>
        <v>0</v>
      </c>
      <c r="K18" s="71">
        <f>K19+K20</f>
        <v>98.4</v>
      </c>
      <c r="L18" s="77">
        <f t="shared" si="3"/>
        <v>0.9380081300813007</v>
      </c>
      <c r="M18" s="71">
        <f>M19+M20</f>
        <v>-0.1</v>
      </c>
      <c r="N18" s="71">
        <f>N19+N20</f>
        <v>4.2</v>
      </c>
      <c r="O18" s="77">
        <f t="shared" si="2"/>
        <v>-0.023809523809523808</v>
      </c>
      <c r="P18" s="71">
        <f>P19+P20</f>
        <v>17.200000000000003</v>
      </c>
      <c r="Q18" s="71">
        <f>Q19+Q20</f>
        <v>14.4</v>
      </c>
      <c r="R18" s="71">
        <f>R19+R20</f>
        <v>15.5</v>
      </c>
    </row>
    <row r="19" spans="1:18" ht="18">
      <c r="A19" s="13" t="s">
        <v>100</v>
      </c>
      <c r="B19" s="13">
        <v>1060603310</v>
      </c>
      <c r="C19" s="71">
        <v>85</v>
      </c>
      <c r="D19" s="68"/>
      <c r="E19" s="71">
        <f>C19+D19</f>
        <v>85</v>
      </c>
      <c r="F19" s="71"/>
      <c r="G19" s="71">
        <v>89.8</v>
      </c>
      <c r="H19" s="68">
        <f>G19+M19</f>
        <v>89.8</v>
      </c>
      <c r="I19" s="77">
        <f t="shared" si="1"/>
        <v>1.056470588235294</v>
      </c>
      <c r="J19" s="77">
        <f t="shared" si="4"/>
        <v>0</v>
      </c>
      <c r="K19" s="71">
        <v>88.5</v>
      </c>
      <c r="L19" s="77">
        <f t="shared" si="3"/>
        <v>1.0146892655367232</v>
      </c>
      <c r="M19" s="71"/>
      <c r="N19" s="71">
        <v>4</v>
      </c>
      <c r="O19" s="77">
        <f t="shared" si="2"/>
        <v>0</v>
      </c>
      <c r="P19" s="71">
        <v>0.1</v>
      </c>
      <c r="Q19" s="71">
        <v>0.1</v>
      </c>
      <c r="R19" s="71">
        <v>1.7</v>
      </c>
    </row>
    <row r="20" spans="1:18" ht="18">
      <c r="A20" s="13" t="s">
        <v>101</v>
      </c>
      <c r="B20" s="13">
        <v>1060604310</v>
      </c>
      <c r="C20" s="71">
        <v>43</v>
      </c>
      <c r="D20" s="68"/>
      <c r="E20" s="71">
        <f>C20+D20</f>
        <v>43</v>
      </c>
      <c r="F20" s="71"/>
      <c r="G20" s="71">
        <v>2.6</v>
      </c>
      <c r="H20" s="68">
        <f>G20+M20</f>
        <v>2.5</v>
      </c>
      <c r="I20" s="77">
        <f t="shared" si="1"/>
        <v>0.05813953488372093</v>
      </c>
      <c r="J20" s="77">
        <f t="shared" si="4"/>
        <v>0</v>
      </c>
      <c r="K20" s="71">
        <v>9.9</v>
      </c>
      <c r="L20" s="77">
        <f t="shared" si="3"/>
        <v>0.25252525252525254</v>
      </c>
      <c r="M20" s="71">
        <v>-0.1</v>
      </c>
      <c r="N20" s="71">
        <v>0.2</v>
      </c>
      <c r="O20" s="77">
        <f t="shared" si="2"/>
        <v>-0.5</v>
      </c>
      <c r="P20" s="71">
        <v>17.1</v>
      </c>
      <c r="Q20" s="71">
        <v>14.3</v>
      </c>
      <c r="R20" s="71">
        <v>13.8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4.9</v>
      </c>
      <c r="H21" s="68">
        <f>G21+M21</f>
        <v>5.300000000000001</v>
      </c>
      <c r="I21" s="77">
        <f t="shared" si="1"/>
        <v>0.1558823529411765</v>
      </c>
      <c r="J21" s="77">
        <f t="shared" si="4"/>
        <v>0</v>
      </c>
      <c r="K21" s="71">
        <v>1</v>
      </c>
      <c r="L21" s="77">
        <f t="shared" si="3"/>
        <v>5.300000000000001</v>
      </c>
      <c r="M21" s="71">
        <v>0.4</v>
      </c>
      <c r="N21" s="71"/>
      <c r="O21" s="77">
        <f t="shared" si="2"/>
        <v>0</v>
      </c>
      <c r="P21" s="71">
        <v>8.4</v>
      </c>
      <c r="Q21" s="71">
        <v>4.2</v>
      </c>
      <c r="R21" s="71">
        <v>4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2.1</v>
      </c>
      <c r="H22" s="73">
        <f>G22+M22</f>
        <v>3.1</v>
      </c>
      <c r="I22" s="87">
        <f t="shared" si="1"/>
        <v>1.0333333333333334</v>
      </c>
      <c r="J22" s="87">
        <f t="shared" si="4"/>
        <v>0</v>
      </c>
      <c r="K22" s="72">
        <v>4.2</v>
      </c>
      <c r="L22" s="87">
        <f t="shared" si="3"/>
        <v>0.7380952380952381</v>
      </c>
      <c r="M22" s="72">
        <v>1</v>
      </c>
      <c r="N22" s="72">
        <v>0.1</v>
      </c>
      <c r="O22" s="87">
        <f t="shared" si="2"/>
        <v>10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14</v>
      </c>
      <c r="D24" s="86">
        <f t="shared" si="9"/>
        <v>71.6</v>
      </c>
      <c r="E24" s="86">
        <f t="shared" si="9"/>
        <v>85.6</v>
      </c>
      <c r="F24" s="86">
        <f t="shared" si="9"/>
        <v>0</v>
      </c>
      <c r="G24" s="86">
        <f>G25+G29+G33+G31+G32+G30</f>
        <v>15.6</v>
      </c>
      <c r="H24" s="86">
        <f t="shared" si="9"/>
        <v>18.1</v>
      </c>
      <c r="I24" s="90">
        <f t="shared" si="1"/>
        <v>0.21144859813084116</v>
      </c>
      <c r="J24" s="90">
        <f t="shared" si="4"/>
        <v>0</v>
      </c>
      <c r="K24" s="86">
        <f>K25+K29+K33+K31+K32+K30</f>
        <v>96.19999999999999</v>
      </c>
      <c r="L24" s="90">
        <f t="shared" si="3"/>
        <v>0.1881496881496882</v>
      </c>
      <c r="M24" s="86">
        <f>M25+M29+M33+M31+M32+M30</f>
        <v>2.5</v>
      </c>
      <c r="N24" s="86">
        <f>N25+N29+N33+N31+N32+N30</f>
        <v>17.4</v>
      </c>
      <c r="O24" s="90">
        <f t="shared" si="2"/>
        <v>0.14367816091954025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14</v>
      </c>
      <c r="D25" s="72">
        <f t="shared" si="10"/>
        <v>71.6</v>
      </c>
      <c r="E25" s="72">
        <f t="shared" si="10"/>
        <v>85.6</v>
      </c>
      <c r="F25" s="72">
        <f t="shared" si="10"/>
        <v>0</v>
      </c>
      <c r="G25" s="72">
        <f>G26+G28+G27</f>
        <v>15.6</v>
      </c>
      <c r="H25" s="72">
        <f t="shared" si="10"/>
        <v>18</v>
      </c>
      <c r="I25" s="87">
        <f t="shared" si="1"/>
        <v>0.21028037383177572</v>
      </c>
      <c r="J25" s="87">
        <f t="shared" si="4"/>
        <v>0</v>
      </c>
      <c r="K25" s="72">
        <f>K26+K28+K27</f>
        <v>26.8</v>
      </c>
      <c r="L25" s="87">
        <f t="shared" si="3"/>
        <v>0.6716417910447761</v>
      </c>
      <c r="M25" s="72">
        <f>M26+M28+M27</f>
        <v>2.4</v>
      </c>
      <c r="N25" s="72">
        <f>N26+N28+N27</f>
        <v>3.2</v>
      </c>
      <c r="O25" s="87">
        <f t="shared" si="2"/>
        <v>0.7499999999999999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14</v>
      </c>
      <c r="D28" s="68">
        <f>54.3+17.3</f>
        <v>71.6</v>
      </c>
      <c r="E28" s="71">
        <f t="shared" si="11"/>
        <v>85.6</v>
      </c>
      <c r="F28" s="71"/>
      <c r="G28" s="71">
        <v>15.6</v>
      </c>
      <c r="H28" s="68">
        <f t="shared" si="12"/>
        <v>18</v>
      </c>
      <c r="I28" s="77">
        <f t="shared" si="1"/>
        <v>0.21028037383177572</v>
      </c>
      <c r="J28" s="77">
        <f t="shared" si="4"/>
        <v>0</v>
      </c>
      <c r="K28" s="71">
        <v>26.8</v>
      </c>
      <c r="L28" s="77">
        <f t="shared" si="3"/>
        <v>0.6716417910447761</v>
      </c>
      <c r="M28" s="71">
        <v>2.4</v>
      </c>
      <c r="N28" s="71">
        <v>3.2</v>
      </c>
      <c r="O28" s="77">
        <f t="shared" si="2"/>
        <v>0.7499999999999999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/>
      <c r="D29" s="72"/>
      <c r="E29" s="72">
        <f t="shared" si="11"/>
        <v>0</v>
      </c>
      <c r="F29" s="72"/>
      <c r="G29" s="72"/>
      <c r="H29" s="73">
        <f t="shared" si="12"/>
        <v>0</v>
      </c>
      <c r="I29" s="87">
        <f t="shared" si="1"/>
        <v>0</v>
      </c>
      <c r="J29" s="87">
        <f t="shared" si="4"/>
        <v>0</v>
      </c>
      <c r="K29" s="72">
        <v>69.3</v>
      </c>
      <c r="L29" s="87">
        <f t="shared" si="3"/>
        <v>0</v>
      </c>
      <c r="M29" s="72"/>
      <c r="N29" s="72">
        <v>14.2</v>
      </c>
      <c r="O29" s="87">
        <f t="shared" si="2"/>
        <v>0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</v>
      </c>
      <c r="H33" s="73">
        <f t="shared" si="13"/>
        <v>0.1</v>
      </c>
      <c r="I33" s="87">
        <f>IF(E33&gt;0,H33/E33,0)</f>
        <v>0</v>
      </c>
      <c r="J33" s="87">
        <f>IF(F33&gt;0,H33/F33,0)</f>
        <v>0</v>
      </c>
      <c r="K33" s="73">
        <f>SUM(K34:K35)</f>
        <v>0.1</v>
      </c>
      <c r="L33" s="87">
        <f t="shared" si="3"/>
        <v>1</v>
      </c>
      <c r="M33" s="73">
        <f>SUM(M34:M35)</f>
        <v>0.1</v>
      </c>
      <c r="N33" s="73">
        <f>SUM(N34:N35)</f>
        <v>0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/>
      <c r="H35" s="68">
        <f>G35+M35</f>
        <v>0.1</v>
      </c>
      <c r="I35" s="77">
        <f>IF(E35&gt;0,H35/E35,0)</f>
        <v>0</v>
      </c>
      <c r="J35" s="77">
        <f>IF(F35&gt;0,H35/F35,0)</f>
        <v>0</v>
      </c>
      <c r="K35" s="71">
        <v>0.1</v>
      </c>
      <c r="L35" s="77">
        <f>IF(K35&gt;0,H35/K35,0)</f>
        <v>1</v>
      </c>
      <c r="M35" s="71">
        <v>0.1</v>
      </c>
      <c r="N35" s="71"/>
      <c r="O35" s="77">
        <f t="shared" si="14"/>
        <v>0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1497.9</v>
      </c>
      <c r="D36" s="78">
        <f t="shared" si="15"/>
        <v>71.6</v>
      </c>
      <c r="E36" s="78">
        <f t="shared" si="15"/>
        <v>1569.5</v>
      </c>
      <c r="F36" s="79" t="e">
        <f t="shared" si="15"/>
        <v>#REF!</v>
      </c>
      <c r="G36" s="79">
        <f>G5+G24</f>
        <v>712.2</v>
      </c>
      <c r="H36" s="79">
        <f t="shared" si="15"/>
        <v>839.2</v>
      </c>
      <c r="I36" s="91">
        <f t="shared" si="1"/>
        <v>0.5346925772539025</v>
      </c>
      <c r="J36" s="91" t="e">
        <f t="shared" si="4"/>
        <v>#REF!</v>
      </c>
      <c r="K36" s="79">
        <f>K5+K24</f>
        <v>800.1000000000001</v>
      </c>
      <c r="L36" s="91">
        <f t="shared" si="3"/>
        <v>1.0488688913885762</v>
      </c>
      <c r="M36" s="79">
        <f>M5+M24</f>
        <v>127</v>
      </c>
      <c r="N36" s="79">
        <f>N5+N24</f>
        <v>117.5</v>
      </c>
      <c r="O36" s="91">
        <f t="shared" si="14"/>
        <v>1.0808510638297872</v>
      </c>
      <c r="P36" s="79">
        <f>P5+P24</f>
        <v>25.8</v>
      </c>
      <c r="Q36" s="79">
        <f>Q5+Q24</f>
        <v>18.6</v>
      </c>
      <c r="R36" s="79">
        <f>R5+R24</f>
        <v>19.7</v>
      </c>
      <c r="S36" s="161"/>
      <c r="T36" s="159"/>
    </row>
    <row r="37" spans="1:18" ht="18">
      <c r="A37" s="9" t="s">
        <v>92</v>
      </c>
      <c r="B37" s="9"/>
      <c r="C37" s="79">
        <f aca="true" t="shared" si="16" ref="C37:H37">C36-C10</f>
        <v>769.9000000000001</v>
      </c>
      <c r="D37" s="78">
        <f t="shared" si="16"/>
        <v>71.6</v>
      </c>
      <c r="E37" s="78">
        <f t="shared" si="16"/>
        <v>841.5</v>
      </c>
      <c r="F37" s="79" t="e">
        <f t="shared" si="16"/>
        <v>#REF!</v>
      </c>
      <c r="G37" s="79">
        <f>G36-G10</f>
        <v>386.1000000000001</v>
      </c>
      <c r="H37" s="79">
        <f t="shared" si="16"/>
        <v>443.9000000000001</v>
      </c>
      <c r="I37" s="91">
        <f>IF(E37&gt;0,H37/E37,0)</f>
        <v>0.5275103980986335</v>
      </c>
      <c r="J37" s="91" t="e">
        <f>IF(F37&gt;0,H37/F37,0)</f>
        <v>#REF!</v>
      </c>
      <c r="K37" s="79">
        <f>K36-K10</f>
        <v>474.60000000000014</v>
      </c>
      <c r="L37" s="91">
        <f t="shared" si="3"/>
        <v>0.9353139485882848</v>
      </c>
      <c r="M37" s="79">
        <f>M36-M10</f>
        <v>57.8</v>
      </c>
      <c r="N37" s="79">
        <f>N36-N10</f>
        <v>62.1</v>
      </c>
      <c r="O37" s="91">
        <f t="shared" si="14"/>
        <v>0.930756843800322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2537.1</v>
      </c>
      <c r="D38" s="83">
        <v>150</v>
      </c>
      <c r="E38" s="71">
        <f>C38+D38</f>
        <v>2687.1</v>
      </c>
      <c r="F38" s="71"/>
      <c r="G38" s="71">
        <v>1048</v>
      </c>
      <c r="H38" s="68">
        <f>G38+M38</f>
        <v>1259.1</v>
      </c>
      <c r="I38" s="77">
        <f t="shared" si="1"/>
        <v>0.46857206654013617</v>
      </c>
      <c r="J38" s="77">
        <f t="shared" si="4"/>
        <v>0</v>
      </c>
      <c r="K38" s="71">
        <v>1119.6</v>
      </c>
      <c r="L38" s="77">
        <f t="shared" si="3"/>
        <v>1.1245980707395498</v>
      </c>
      <c r="M38" s="71">
        <v>211.1</v>
      </c>
      <c r="N38" s="71">
        <v>184.7</v>
      </c>
      <c r="O38" s="77">
        <f t="shared" si="14"/>
        <v>1.1429344883595018</v>
      </c>
      <c r="P38" s="71"/>
      <c r="Q38" s="71"/>
      <c r="R38" s="71"/>
      <c r="S38" s="176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4035</v>
      </c>
      <c r="D40" s="78">
        <f>D36+D38+D39</f>
        <v>221.6</v>
      </c>
      <c r="E40" s="78">
        <f>E36+E38+E39</f>
        <v>4256.6</v>
      </c>
      <c r="F40" s="88" t="e">
        <f>F36+F38</f>
        <v>#REF!</v>
      </c>
      <c r="G40" s="79">
        <f>G36+G38+G39</f>
        <v>1760.2</v>
      </c>
      <c r="H40" s="79">
        <f>H36+H38+H39</f>
        <v>2098.3</v>
      </c>
      <c r="I40" s="91">
        <f t="shared" si="1"/>
        <v>0.49295212141145517</v>
      </c>
      <c r="J40" s="91" t="e">
        <f t="shared" si="4"/>
        <v>#REF!</v>
      </c>
      <c r="K40" s="79">
        <f>K36+K38+K39</f>
        <v>1919.7</v>
      </c>
      <c r="L40" s="91">
        <f t="shared" si="3"/>
        <v>1.0930353701099131</v>
      </c>
      <c r="M40" s="79">
        <f>M36+M38+M39</f>
        <v>338.1</v>
      </c>
      <c r="N40" s="79">
        <f>N36+N38+N39</f>
        <v>302.2</v>
      </c>
      <c r="O40" s="91">
        <f t="shared" si="14"/>
        <v>1.1187954996690934</v>
      </c>
      <c r="P40" s="92">
        <f>P36+P38</f>
        <v>25.8</v>
      </c>
      <c r="Q40" s="79">
        <f>Q36+Q38</f>
        <v>18.6</v>
      </c>
      <c r="R40" s="79">
        <f>R36+R38</f>
        <v>19.7</v>
      </c>
    </row>
    <row r="41" ht="18">
      <c r="I41" s="155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11.7539062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91" t="s">
        <v>11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49"/>
      <c r="O1" s="49"/>
      <c r="P1" s="26"/>
      <c r="Q1" s="26"/>
      <c r="R1" s="26"/>
    </row>
    <row r="2" spans="1:18" ht="15.75">
      <c r="A2" s="26"/>
      <c r="B2" s="196" t="s">
        <v>129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3.5" customHeight="1">
      <c r="A3" s="185" t="s">
        <v>3</v>
      </c>
      <c r="B3" s="185" t="s">
        <v>4</v>
      </c>
      <c r="C3" s="185" t="s">
        <v>115</v>
      </c>
      <c r="D3" s="185" t="s">
        <v>24</v>
      </c>
      <c r="E3" s="185" t="s">
        <v>116</v>
      </c>
      <c r="F3" s="185" t="s">
        <v>99</v>
      </c>
      <c r="G3" s="185" t="s">
        <v>120</v>
      </c>
      <c r="H3" s="185" t="s">
        <v>117</v>
      </c>
      <c r="I3" s="185"/>
      <c r="J3" s="185"/>
      <c r="K3" s="185" t="s">
        <v>113</v>
      </c>
      <c r="L3" s="185"/>
      <c r="M3" s="185" t="s">
        <v>123</v>
      </c>
      <c r="N3" s="185" t="s">
        <v>124</v>
      </c>
      <c r="O3" s="185" t="s">
        <v>30</v>
      </c>
      <c r="P3" s="185" t="s">
        <v>9</v>
      </c>
      <c r="Q3" s="185"/>
      <c r="R3" s="185"/>
    </row>
    <row r="4" spans="1:18" ht="93.75" customHeight="1">
      <c r="A4" s="195"/>
      <c r="B4" s="195"/>
      <c r="C4" s="185"/>
      <c r="D4" s="185"/>
      <c r="E4" s="185"/>
      <c r="F4" s="185"/>
      <c r="G4" s="185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5"/>
      <c r="N4" s="185"/>
      <c r="O4" s="185"/>
      <c r="P4" s="122" t="s">
        <v>118</v>
      </c>
      <c r="Q4" s="122" t="s">
        <v>121</v>
      </c>
      <c r="R4" s="122" t="s">
        <v>132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2009.1999999999998</v>
      </c>
      <c r="D5" s="89">
        <f t="shared" si="0"/>
        <v>0</v>
      </c>
      <c r="E5" s="89">
        <f t="shared" si="0"/>
        <v>2009.1999999999998</v>
      </c>
      <c r="F5" s="89">
        <f t="shared" si="0"/>
        <v>0</v>
      </c>
      <c r="G5" s="89">
        <f t="shared" si="0"/>
        <v>798</v>
      </c>
      <c r="H5" s="89">
        <f t="shared" si="0"/>
        <v>931.8000000000002</v>
      </c>
      <c r="I5" s="90">
        <f aca="true" t="shared" si="1" ref="I5:I39">IF(E5&gt;0,H5/E5,0)</f>
        <v>0.46376667330280724</v>
      </c>
      <c r="J5" s="90">
        <f>IF(F5&gt;0,H5/F5,0)</f>
        <v>0</v>
      </c>
      <c r="K5" s="89">
        <f>K6+K15+K17+K22+K23+K10</f>
        <v>832.0999999999999</v>
      </c>
      <c r="L5" s="90">
        <f>IF(K5&gt;0,H5/K5,0)</f>
        <v>1.1198173296478793</v>
      </c>
      <c r="M5" s="89">
        <f>M6+M15+M17+M22+M23+M10</f>
        <v>133.79999999999998</v>
      </c>
      <c r="N5" s="89">
        <f>N6+N15+N17+N22+N23+N10</f>
        <v>161.2</v>
      </c>
      <c r="O5" s="90">
        <f aca="true" t="shared" si="2" ref="O5:O39">IF(N5&gt;0,M5/N5,0)</f>
        <v>0.8300248138957816</v>
      </c>
      <c r="P5" s="89">
        <f>P6+P15+P17+P22+P23+P10</f>
        <v>57.00000000000001</v>
      </c>
      <c r="Q5" s="89">
        <f>Q6+Q15+Q17+Q22+Q23+Q10</f>
        <v>53.1</v>
      </c>
      <c r="R5" s="89">
        <f>R6+R15+R17+R22+R23+R10</f>
        <v>43.699999999999996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843.1</v>
      </c>
      <c r="D6" s="72">
        <f t="shared" si="3"/>
        <v>0</v>
      </c>
      <c r="E6" s="72">
        <f t="shared" si="3"/>
        <v>843.1</v>
      </c>
      <c r="F6" s="72">
        <f t="shared" si="3"/>
        <v>0</v>
      </c>
      <c r="G6" s="72">
        <f t="shared" si="3"/>
        <v>319.40000000000003</v>
      </c>
      <c r="H6" s="72">
        <f t="shared" si="3"/>
        <v>380.50000000000006</v>
      </c>
      <c r="I6" s="87">
        <f t="shared" si="1"/>
        <v>0.4513106393073183</v>
      </c>
      <c r="J6" s="87">
        <f>IF(F6&gt;0,H6/F6,0)</f>
        <v>0</v>
      </c>
      <c r="K6" s="93">
        <f>SUM(K7:K9)</f>
        <v>422.5</v>
      </c>
      <c r="L6" s="87">
        <f aca="true" t="shared" si="4" ref="L6:L39">IF(K6&gt;0,H6/K6,0)</f>
        <v>0.9005917159763315</v>
      </c>
      <c r="M6" s="72">
        <f>M7+M8+M9</f>
        <v>61.1</v>
      </c>
      <c r="N6" s="72">
        <f>N7+N8+N9</f>
        <v>70.6</v>
      </c>
      <c r="O6" s="87">
        <f t="shared" si="2"/>
        <v>0.8654390934844194</v>
      </c>
      <c r="P6" s="72">
        <f>P7+P8+P9</f>
        <v>8.6</v>
      </c>
      <c r="Q6" s="72">
        <f>Q7+Q8+Q9</f>
        <v>18.1</v>
      </c>
      <c r="R6" s="72">
        <f>R7+R8+R9</f>
        <v>8.4</v>
      </c>
      <c r="T6" s="26"/>
    </row>
    <row r="7" spans="1:20" ht="21" customHeight="1">
      <c r="A7" s="10" t="s">
        <v>44</v>
      </c>
      <c r="B7" s="13">
        <v>1010201001</v>
      </c>
      <c r="C7" s="71">
        <v>843.1</v>
      </c>
      <c r="D7" s="83"/>
      <c r="E7" s="71">
        <f>C7+D7</f>
        <v>843.1</v>
      </c>
      <c r="F7" s="71"/>
      <c r="G7" s="68">
        <v>319.1</v>
      </c>
      <c r="H7" s="68">
        <f>G7+M7</f>
        <v>380.20000000000005</v>
      </c>
      <c r="I7" s="77">
        <f t="shared" si="1"/>
        <v>0.4509548096311233</v>
      </c>
      <c r="J7" s="77">
        <f aca="true" t="shared" si="5" ref="J7:J37">IF(F7&gt;0,H7/F7,0)</f>
        <v>0</v>
      </c>
      <c r="K7" s="68">
        <v>422.5</v>
      </c>
      <c r="L7" s="77">
        <f t="shared" si="4"/>
        <v>0.8998816568047339</v>
      </c>
      <c r="M7" s="68">
        <v>61.1</v>
      </c>
      <c r="N7" s="68">
        <v>70.6</v>
      </c>
      <c r="O7" s="77">
        <f t="shared" si="2"/>
        <v>0.8654390934844194</v>
      </c>
      <c r="P7" s="71">
        <v>8.4</v>
      </c>
      <c r="Q7" s="71">
        <v>18.1</v>
      </c>
      <c r="R7" s="71">
        <v>8.4</v>
      </c>
      <c r="T7" s="173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0.3</v>
      </c>
      <c r="H9" s="68">
        <f>G9+M9</f>
        <v>0.3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>
        <v>0.2</v>
      </c>
      <c r="Q9" s="71"/>
      <c r="R9" s="71"/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646.1</v>
      </c>
      <c r="D10" s="72">
        <f t="shared" si="6"/>
        <v>0</v>
      </c>
      <c r="E10" s="72">
        <f t="shared" si="6"/>
        <v>646.1</v>
      </c>
      <c r="F10" s="72"/>
      <c r="G10" s="72">
        <f>SUM(G11:G14)</f>
        <v>288.7</v>
      </c>
      <c r="H10" s="72">
        <f t="shared" si="6"/>
        <v>349.90000000000003</v>
      </c>
      <c r="I10" s="66">
        <f t="shared" si="1"/>
        <v>0.541557034514781</v>
      </c>
      <c r="J10" s="66">
        <f>IF(F10&gt;0,H10/F10,0)</f>
        <v>0</v>
      </c>
      <c r="K10" s="72">
        <f>SUM(K11:K14)</f>
        <v>288.09999999999997</v>
      </c>
      <c r="L10" s="66">
        <f t="shared" si="4"/>
        <v>1.2145088510933706</v>
      </c>
      <c r="M10" s="72">
        <f>SUM(M11:M14)</f>
        <v>61.199999999999996</v>
      </c>
      <c r="N10" s="72">
        <f>SUM(N11:N14)</f>
        <v>49</v>
      </c>
      <c r="O10" s="66">
        <f t="shared" si="2"/>
        <v>1.2489795918367346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292.1</v>
      </c>
      <c r="D11" s="71"/>
      <c r="E11" s="67">
        <f>C11+D11</f>
        <v>292.1</v>
      </c>
      <c r="F11" s="67"/>
      <c r="G11" s="71">
        <v>141.3</v>
      </c>
      <c r="H11" s="69">
        <f>G11+M11</f>
        <v>172.20000000000002</v>
      </c>
      <c r="I11" s="70">
        <f t="shared" si="1"/>
        <v>0.5895241355700103</v>
      </c>
      <c r="J11" s="70">
        <f>IF(F11&gt;0,H11/F11,0)</f>
        <v>0</v>
      </c>
      <c r="K11" s="71">
        <v>130.2</v>
      </c>
      <c r="L11" s="70">
        <f t="shared" si="4"/>
        <v>1.3225806451612905</v>
      </c>
      <c r="M11" s="71">
        <v>30.9</v>
      </c>
      <c r="N11" s="71">
        <v>21.9</v>
      </c>
      <c r="O11" s="70">
        <f t="shared" si="2"/>
        <v>1.4109589041095891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0.9</v>
      </c>
      <c r="H12" s="69">
        <f>G12+M12</f>
        <v>1</v>
      </c>
      <c r="I12" s="70">
        <f t="shared" si="1"/>
        <v>0.625</v>
      </c>
      <c r="J12" s="70">
        <f>IF(F12&gt;0,H12/F12,0)</f>
        <v>0</v>
      </c>
      <c r="K12" s="71">
        <v>1</v>
      </c>
      <c r="L12" s="70">
        <f t="shared" si="4"/>
        <v>1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389</v>
      </c>
      <c r="D13" s="71"/>
      <c r="E13" s="67">
        <f>C13+D13</f>
        <v>389</v>
      </c>
      <c r="F13" s="67"/>
      <c r="G13" s="71">
        <v>163.8</v>
      </c>
      <c r="H13" s="69">
        <f>G13+M13</f>
        <v>198.4</v>
      </c>
      <c r="I13" s="70">
        <f t="shared" si="1"/>
        <v>0.510025706940874</v>
      </c>
      <c r="J13" s="70">
        <f>IF(F13&gt;0,H13/F13,0)</f>
        <v>0</v>
      </c>
      <c r="K13" s="71">
        <v>181.2</v>
      </c>
      <c r="L13" s="70">
        <f t="shared" si="4"/>
        <v>1.0949227373068433</v>
      </c>
      <c r="M13" s="71">
        <v>34.6</v>
      </c>
      <c r="N13" s="71">
        <v>32.4</v>
      </c>
      <c r="O13" s="70">
        <f t="shared" si="2"/>
        <v>1.0679012345679013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-36.6</v>
      </c>
      <c r="D14" s="71"/>
      <c r="E14" s="67">
        <f>C14+D14</f>
        <v>-36.6</v>
      </c>
      <c r="F14" s="67"/>
      <c r="G14" s="71">
        <v>-17.3</v>
      </c>
      <c r="H14" s="69">
        <f>G14+M14</f>
        <v>-21.700000000000003</v>
      </c>
      <c r="I14" s="70">
        <f t="shared" si="1"/>
        <v>0</v>
      </c>
      <c r="J14" s="70">
        <f>IF(F14&gt;0,H14/F14,0)</f>
        <v>0</v>
      </c>
      <c r="K14" s="71">
        <v>-24.3</v>
      </c>
      <c r="L14" s="70">
        <f t="shared" si="4"/>
        <v>0</v>
      </c>
      <c r="M14" s="71">
        <v>-4.4</v>
      </c>
      <c r="N14" s="71">
        <v>-5.5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185</v>
      </c>
      <c r="D15" s="73">
        <f t="shared" si="7"/>
        <v>0</v>
      </c>
      <c r="E15" s="73">
        <f t="shared" si="7"/>
        <v>185</v>
      </c>
      <c r="F15" s="73">
        <f t="shared" si="7"/>
        <v>0</v>
      </c>
      <c r="G15" s="72">
        <f>G16</f>
        <v>5.2</v>
      </c>
      <c r="H15" s="73">
        <f t="shared" si="7"/>
        <v>5.2</v>
      </c>
      <c r="I15" s="87">
        <f t="shared" si="1"/>
        <v>0.02810810810810811</v>
      </c>
      <c r="J15" s="87">
        <f t="shared" si="5"/>
        <v>0</v>
      </c>
      <c r="K15" s="72">
        <f>K16</f>
        <v>32.9</v>
      </c>
      <c r="L15" s="87">
        <f t="shared" si="4"/>
        <v>0.15805471124620063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185</v>
      </c>
      <c r="D16" s="68"/>
      <c r="E16" s="71">
        <f>C16+D16</f>
        <v>185</v>
      </c>
      <c r="F16" s="71"/>
      <c r="G16" s="71">
        <v>5.2</v>
      </c>
      <c r="H16" s="68">
        <f>G16+M16</f>
        <v>5.2</v>
      </c>
      <c r="I16" s="77">
        <f t="shared" si="1"/>
        <v>0.02810810810810811</v>
      </c>
      <c r="J16" s="77">
        <f t="shared" si="5"/>
        <v>0</v>
      </c>
      <c r="K16" s="71">
        <v>32.9</v>
      </c>
      <c r="L16" s="77">
        <f t="shared" si="4"/>
        <v>0.15805471124620063</v>
      </c>
      <c r="M16" s="71"/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330</v>
      </c>
      <c r="D17" s="73">
        <f t="shared" si="8"/>
        <v>0</v>
      </c>
      <c r="E17" s="73">
        <f t="shared" si="8"/>
        <v>330</v>
      </c>
      <c r="F17" s="73">
        <f t="shared" si="8"/>
        <v>0</v>
      </c>
      <c r="G17" s="72">
        <f>G18+G21</f>
        <v>180.6</v>
      </c>
      <c r="H17" s="73">
        <f t="shared" si="8"/>
        <v>191.6</v>
      </c>
      <c r="I17" s="87">
        <f t="shared" si="1"/>
        <v>0.5806060606060606</v>
      </c>
      <c r="J17" s="87">
        <f t="shared" si="5"/>
        <v>0</v>
      </c>
      <c r="K17" s="72">
        <f>K18+K21</f>
        <v>84.4</v>
      </c>
      <c r="L17" s="87">
        <f t="shared" si="4"/>
        <v>2.2701421800947865</v>
      </c>
      <c r="M17" s="72">
        <f>M18+M21</f>
        <v>11</v>
      </c>
      <c r="N17" s="72">
        <f>N18+N21</f>
        <v>41</v>
      </c>
      <c r="O17" s="87">
        <f t="shared" si="2"/>
        <v>0.2682926829268293</v>
      </c>
      <c r="P17" s="72">
        <f>P18+P21</f>
        <v>48.400000000000006</v>
      </c>
      <c r="Q17" s="72">
        <f>Q18+Q21</f>
        <v>35</v>
      </c>
      <c r="R17" s="72">
        <f>R18+R21</f>
        <v>35.3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283</v>
      </c>
      <c r="D18" s="68">
        <f t="shared" si="9"/>
        <v>0</v>
      </c>
      <c r="E18" s="68">
        <f t="shared" si="9"/>
        <v>283</v>
      </c>
      <c r="F18" s="68">
        <f t="shared" si="9"/>
        <v>0</v>
      </c>
      <c r="G18" s="68">
        <f>G19+G20</f>
        <v>177.9</v>
      </c>
      <c r="H18" s="68">
        <f t="shared" si="9"/>
        <v>189.5</v>
      </c>
      <c r="I18" s="77">
        <f t="shared" si="1"/>
        <v>0.6696113074204947</v>
      </c>
      <c r="J18" s="77">
        <f t="shared" si="5"/>
        <v>0</v>
      </c>
      <c r="K18" s="68">
        <f>K19+K20</f>
        <v>76</v>
      </c>
      <c r="L18" s="77">
        <f t="shared" si="4"/>
        <v>2.4934210526315788</v>
      </c>
      <c r="M18" s="68">
        <f>M19+M20</f>
        <v>11.6</v>
      </c>
      <c r="N18" s="68">
        <f>N19+N20</f>
        <v>40.9</v>
      </c>
      <c r="O18" s="77">
        <f t="shared" si="2"/>
        <v>0.28361858190709044</v>
      </c>
      <c r="P18" s="71">
        <f>P19+P20</f>
        <v>34.2</v>
      </c>
      <c r="Q18" s="71">
        <f>Q19+Q20</f>
        <v>25.7</v>
      </c>
      <c r="R18" s="71">
        <f>R19+R20</f>
        <v>26</v>
      </c>
      <c r="T18" s="26"/>
    </row>
    <row r="19" spans="1:20" ht="18">
      <c r="A19" s="13" t="s">
        <v>100</v>
      </c>
      <c r="B19" s="13">
        <v>1060603310</v>
      </c>
      <c r="C19" s="71">
        <v>196</v>
      </c>
      <c r="D19" s="68"/>
      <c r="E19" s="71">
        <f>C19+D19</f>
        <v>196</v>
      </c>
      <c r="F19" s="71"/>
      <c r="G19" s="71">
        <v>170.4</v>
      </c>
      <c r="H19" s="68">
        <f>G19+M19</f>
        <v>181.1</v>
      </c>
      <c r="I19" s="77">
        <f t="shared" si="1"/>
        <v>0.9239795918367346</v>
      </c>
      <c r="J19" s="77">
        <f t="shared" si="5"/>
        <v>0</v>
      </c>
      <c r="K19" s="71">
        <v>68.8</v>
      </c>
      <c r="L19" s="77">
        <f t="shared" si="4"/>
        <v>2.6322674418604652</v>
      </c>
      <c r="M19" s="71">
        <v>10.7</v>
      </c>
      <c r="N19" s="71">
        <v>39.8</v>
      </c>
      <c r="O19" s="77">
        <f t="shared" si="2"/>
        <v>0.26884422110552764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87</v>
      </c>
      <c r="D20" s="68"/>
      <c r="E20" s="71">
        <f>C20+D20</f>
        <v>87</v>
      </c>
      <c r="F20" s="71"/>
      <c r="G20" s="71">
        <v>7.5</v>
      </c>
      <c r="H20" s="68">
        <f>G20+M20</f>
        <v>8.4</v>
      </c>
      <c r="I20" s="77">
        <f t="shared" si="1"/>
        <v>0.09655172413793103</v>
      </c>
      <c r="J20" s="77">
        <f t="shared" si="5"/>
        <v>0</v>
      </c>
      <c r="K20" s="71">
        <v>7.2</v>
      </c>
      <c r="L20" s="77">
        <f t="shared" si="4"/>
        <v>1.1666666666666667</v>
      </c>
      <c r="M20" s="71">
        <v>0.9</v>
      </c>
      <c r="N20" s="71">
        <v>1.1</v>
      </c>
      <c r="O20" s="77">
        <f t="shared" si="2"/>
        <v>0.8181818181818181</v>
      </c>
      <c r="P20" s="71">
        <v>34.2</v>
      </c>
      <c r="Q20" s="71">
        <v>25.7</v>
      </c>
      <c r="R20" s="71">
        <v>26</v>
      </c>
      <c r="T20" s="26"/>
    </row>
    <row r="21" spans="1:20" ht="18">
      <c r="A21" s="13" t="s">
        <v>12</v>
      </c>
      <c r="B21" s="13">
        <v>1060103010</v>
      </c>
      <c r="C21" s="71">
        <v>47</v>
      </c>
      <c r="D21" s="68"/>
      <c r="E21" s="71">
        <f>C21+D21</f>
        <v>47</v>
      </c>
      <c r="F21" s="71"/>
      <c r="G21" s="71">
        <v>2.7</v>
      </c>
      <c r="H21" s="68">
        <f>G21+M21</f>
        <v>2.1</v>
      </c>
      <c r="I21" s="77">
        <f t="shared" si="1"/>
        <v>0.04468085106382979</v>
      </c>
      <c r="J21" s="77">
        <f t="shared" si="5"/>
        <v>0</v>
      </c>
      <c r="K21" s="71">
        <v>8.4</v>
      </c>
      <c r="L21" s="77">
        <f t="shared" si="4"/>
        <v>0.25</v>
      </c>
      <c r="M21" s="71">
        <v>-0.6</v>
      </c>
      <c r="N21" s="71">
        <v>0.1</v>
      </c>
      <c r="O21" s="77">
        <f t="shared" si="2"/>
        <v>-5.999999999999999</v>
      </c>
      <c r="P21" s="71">
        <v>14.2</v>
      </c>
      <c r="Q21" s="71">
        <v>9.3</v>
      </c>
      <c r="R21" s="71">
        <v>9.3</v>
      </c>
      <c r="T21" s="173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4.1</v>
      </c>
      <c r="H22" s="73">
        <f>G22+M22</f>
        <v>4.6</v>
      </c>
      <c r="I22" s="87">
        <f t="shared" si="1"/>
        <v>0.9199999999999999</v>
      </c>
      <c r="J22" s="87">
        <f t="shared" si="5"/>
        <v>0</v>
      </c>
      <c r="K22" s="72">
        <v>4.2</v>
      </c>
      <c r="L22" s="87">
        <f t="shared" si="4"/>
        <v>1.0952380952380951</v>
      </c>
      <c r="M22" s="72">
        <v>0.5</v>
      </c>
      <c r="N22" s="72">
        <v>0.6</v>
      </c>
      <c r="O22" s="87">
        <f t="shared" si="2"/>
        <v>0.8333333333333334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106</v>
      </c>
      <c r="D24" s="86">
        <f t="shared" si="10"/>
        <v>0</v>
      </c>
      <c r="E24" s="86">
        <f t="shared" si="10"/>
        <v>106</v>
      </c>
      <c r="F24" s="86">
        <f t="shared" si="10"/>
        <v>0</v>
      </c>
      <c r="G24" s="86">
        <f>G25+G28+G32+G29+G31+G30</f>
        <v>43.1</v>
      </c>
      <c r="H24" s="86">
        <f t="shared" si="10"/>
        <v>47</v>
      </c>
      <c r="I24" s="90">
        <f t="shared" si="1"/>
        <v>0.44339622641509435</v>
      </c>
      <c r="J24" s="90">
        <f t="shared" si="5"/>
        <v>0</v>
      </c>
      <c r="K24" s="86">
        <f>K25+K28+K32+K29+K31+K30</f>
        <v>317.7</v>
      </c>
      <c r="L24" s="90">
        <f t="shared" si="4"/>
        <v>0.1479383065785332</v>
      </c>
      <c r="M24" s="86">
        <f>M25+M28+M32+M29+M31+M30</f>
        <v>3.9</v>
      </c>
      <c r="N24" s="86">
        <f>N25+N28+N32+N29+N31+N30</f>
        <v>79.8</v>
      </c>
      <c r="O24" s="90">
        <f t="shared" si="2"/>
        <v>0.04887218045112782</v>
      </c>
      <c r="P24" s="76">
        <f>P25+P28+P32+P29</f>
        <v>0</v>
      </c>
      <c r="Q24" s="76">
        <f>Q25+Q28+Q32+Q29</f>
        <v>0</v>
      </c>
      <c r="R24" s="76">
        <f>R25+R28+R32+R29</f>
        <v>8.7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106</v>
      </c>
      <c r="D25" s="72">
        <f t="shared" si="11"/>
        <v>0</v>
      </c>
      <c r="E25" s="72">
        <f t="shared" si="11"/>
        <v>106</v>
      </c>
      <c r="F25" s="72">
        <f t="shared" si="11"/>
        <v>0</v>
      </c>
      <c r="G25" s="72">
        <f>G26+G27</f>
        <v>41.9</v>
      </c>
      <c r="H25" s="72">
        <f t="shared" si="11"/>
        <v>45.8</v>
      </c>
      <c r="I25" s="87">
        <f t="shared" si="1"/>
        <v>0.43207547169811317</v>
      </c>
      <c r="J25" s="87">
        <f t="shared" si="5"/>
        <v>0</v>
      </c>
      <c r="K25" s="72">
        <f>K26+K27</f>
        <v>53.3</v>
      </c>
      <c r="L25" s="87">
        <f t="shared" si="4"/>
        <v>0.8592870544090057</v>
      </c>
      <c r="M25" s="72">
        <f>M26+M27</f>
        <v>3.9</v>
      </c>
      <c r="N25" s="72">
        <f>N26+N27</f>
        <v>24.9</v>
      </c>
      <c r="O25" s="87">
        <f t="shared" si="2"/>
        <v>0.1566265060240964</v>
      </c>
      <c r="P25" s="72">
        <f>P26+P27</f>
        <v>0</v>
      </c>
      <c r="Q25" s="72">
        <f>Q26+Q27</f>
        <v>0</v>
      </c>
      <c r="R25" s="72">
        <f>R26+R27</f>
        <v>8.7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106</v>
      </c>
      <c r="D27" s="83"/>
      <c r="E27" s="71">
        <f t="shared" si="12"/>
        <v>106</v>
      </c>
      <c r="F27" s="71"/>
      <c r="G27" s="71">
        <v>41.9</v>
      </c>
      <c r="H27" s="68">
        <f t="shared" si="13"/>
        <v>45.8</v>
      </c>
      <c r="I27" s="77">
        <f t="shared" si="1"/>
        <v>0.43207547169811317</v>
      </c>
      <c r="J27" s="77">
        <f t="shared" si="5"/>
        <v>0</v>
      </c>
      <c r="K27" s="71">
        <v>53.3</v>
      </c>
      <c r="L27" s="77">
        <f t="shared" si="4"/>
        <v>0.8592870544090057</v>
      </c>
      <c r="M27" s="71">
        <v>3.9</v>
      </c>
      <c r="N27" s="71">
        <v>24.9</v>
      </c>
      <c r="O27" s="77">
        <f t="shared" si="2"/>
        <v>0.1566265060240964</v>
      </c>
      <c r="P27" s="71"/>
      <c r="Q27" s="71"/>
      <c r="R27" s="71">
        <v>8.7</v>
      </c>
      <c r="T27" s="26"/>
    </row>
    <row r="28" spans="1:20" ht="18">
      <c r="A28" s="9" t="s">
        <v>38</v>
      </c>
      <c r="B28" s="30">
        <v>1130299510</v>
      </c>
      <c r="C28" s="72"/>
      <c r="D28" s="72"/>
      <c r="E28" s="72">
        <f t="shared" si="12"/>
        <v>0</v>
      </c>
      <c r="F28" s="72"/>
      <c r="G28" s="72">
        <v>1.1</v>
      </c>
      <c r="H28" s="73">
        <f t="shared" si="13"/>
        <v>1.1</v>
      </c>
      <c r="I28" s="87">
        <f t="shared" si="1"/>
        <v>0</v>
      </c>
      <c r="J28" s="87">
        <f t="shared" si="5"/>
        <v>0</v>
      </c>
      <c r="K28" s="72">
        <v>257.2</v>
      </c>
      <c r="L28" s="87">
        <f t="shared" si="4"/>
        <v>0.004276827371695179</v>
      </c>
      <c r="M28" s="72"/>
      <c r="N28" s="72">
        <v>54.9</v>
      </c>
      <c r="O28" s="87">
        <f t="shared" si="2"/>
        <v>0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>
        <v>7.2</v>
      </c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0.1</v>
      </c>
      <c r="H32" s="72">
        <f t="shared" si="14"/>
        <v>0.1</v>
      </c>
      <c r="I32" s="87">
        <f>IF(E32&gt;0,H32/E32,0)</f>
        <v>0</v>
      </c>
      <c r="J32" s="87">
        <f>IF(F32&gt;0,H32/F32,0)</f>
        <v>0</v>
      </c>
      <c r="K32" s="72">
        <f>SUM(K33:K34)</f>
        <v>0</v>
      </c>
      <c r="L32" s="87">
        <f t="shared" si="4"/>
        <v>0</v>
      </c>
      <c r="M32" s="72">
        <f t="shared" si="14"/>
        <v>0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0.1</v>
      </c>
      <c r="H34" s="68">
        <f>G34+M34</f>
        <v>0.1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2115.2</v>
      </c>
      <c r="D35" s="78">
        <f t="shared" si="15"/>
        <v>0</v>
      </c>
      <c r="E35" s="78">
        <f t="shared" si="15"/>
        <v>2115.2</v>
      </c>
      <c r="F35" s="79">
        <f t="shared" si="15"/>
        <v>0</v>
      </c>
      <c r="G35" s="79">
        <f>G5+G24</f>
        <v>841.1</v>
      </c>
      <c r="H35" s="79">
        <f t="shared" si="15"/>
        <v>978.8000000000002</v>
      </c>
      <c r="I35" s="91">
        <f t="shared" si="1"/>
        <v>0.4627458396369139</v>
      </c>
      <c r="J35" s="91">
        <f t="shared" si="5"/>
        <v>0</v>
      </c>
      <c r="K35" s="79">
        <f>K5+K24</f>
        <v>1149.8</v>
      </c>
      <c r="L35" s="91">
        <f t="shared" si="4"/>
        <v>0.8512784832144723</v>
      </c>
      <c r="M35" s="79">
        <f>M5+M24</f>
        <v>137.7</v>
      </c>
      <c r="N35" s="79">
        <f>N5+N24</f>
        <v>241</v>
      </c>
      <c r="O35" s="91">
        <f t="shared" si="2"/>
        <v>0.5713692946058091</v>
      </c>
      <c r="P35" s="79">
        <f>P5+P24</f>
        <v>57.00000000000001</v>
      </c>
      <c r="Q35" s="79">
        <f>Q5+Q24</f>
        <v>53.1</v>
      </c>
      <c r="R35" s="79">
        <f>R5+R24</f>
        <v>52.39999999999999</v>
      </c>
      <c r="T35" s="26"/>
    </row>
    <row r="36" spans="1:20" ht="18">
      <c r="A36" s="9" t="s">
        <v>92</v>
      </c>
      <c r="B36" s="9"/>
      <c r="C36" s="79">
        <f aca="true" t="shared" si="16" ref="C36:H36">C35-C10</f>
        <v>1469.1</v>
      </c>
      <c r="D36" s="78">
        <f t="shared" si="16"/>
        <v>0</v>
      </c>
      <c r="E36" s="78">
        <f t="shared" si="16"/>
        <v>1469.1</v>
      </c>
      <c r="F36" s="79">
        <f t="shared" si="16"/>
        <v>0</v>
      </c>
      <c r="G36" s="79">
        <f>G35-G10</f>
        <v>552.4000000000001</v>
      </c>
      <c r="H36" s="79">
        <f t="shared" si="16"/>
        <v>628.9000000000001</v>
      </c>
      <c r="I36" s="91">
        <f>IF(E36&gt;0,H36/E36,0)</f>
        <v>0.4280852222449119</v>
      </c>
      <c r="J36" s="91">
        <f>IF(F36&gt;0,H36/F36,0)</f>
        <v>0</v>
      </c>
      <c r="K36" s="79">
        <f>K35-K10</f>
        <v>861.7</v>
      </c>
      <c r="L36" s="91">
        <f t="shared" si="4"/>
        <v>0.7298363699663457</v>
      </c>
      <c r="M36" s="79">
        <f>M35-M10</f>
        <v>76.5</v>
      </c>
      <c r="N36" s="79">
        <f>N35-N10</f>
        <v>192</v>
      </c>
      <c r="O36" s="91">
        <f t="shared" si="2"/>
        <v>0.3984375</v>
      </c>
      <c r="P36" s="79"/>
      <c r="Q36" s="79"/>
      <c r="R36" s="79"/>
      <c r="T36" s="175"/>
    </row>
    <row r="37" spans="1:20" ht="18">
      <c r="A37" s="13" t="s">
        <v>25</v>
      </c>
      <c r="B37" s="13">
        <v>2000000000</v>
      </c>
      <c r="C37" s="83">
        <v>5880.4</v>
      </c>
      <c r="D37" s="83">
        <v>50</v>
      </c>
      <c r="E37" s="83">
        <f>C37+D37</f>
        <v>5930.4</v>
      </c>
      <c r="F37" s="71"/>
      <c r="G37" s="71">
        <v>2064.8</v>
      </c>
      <c r="H37" s="68">
        <f>G37+M37</f>
        <v>2554.8</v>
      </c>
      <c r="I37" s="77">
        <f t="shared" si="1"/>
        <v>0.43079724807770137</v>
      </c>
      <c r="J37" s="77">
        <f t="shared" si="5"/>
        <v>0</v>
      </c>
      <c r="K37" s="71">
        <v>1900.6</v>
      </c>
      <c r="L37" s="77">
        <f t="shared" si="4"/>
        <v>1.3442070924971063</v>
      </c>
      <c r="M37" s="71">
        <v>490</v>
      </c>
      <c r="N37" s="71">
        <v>317.6</v>
      </c>
      <c r="O37" s="77">
        <f t="shared" si="2"/>
        <v>1.542821158690176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2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33.7</v>
      </c>
      <c r="L38" s="77">
        <f t="shared" si="4"/>
        <v>0</v>
      </c>
      <c r="M38" s="71"/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7995.599999999999</v>
      </c>
      <c r="D39" s="88">
        <f t="shared" si="17"/>
        <v>50</v>
      </c>
      <c r="E39" s="78">
        <f t="shared" si="17"/>
        <v>8045.599999999999</v>
      </c>
      <c r="F39" s="79">
        <f t="shared" si="17"/>
        <v>0</v>
      </c>
      <c r="G39" s="79">
        <f t="shared" si="17"/>
        <v>2905.9</v>
      </c>
      <c r="H39" s="79">
        <f t="shared" si="17"/>
        <v>3533.6000000000004</v>
      </c>
      <c r="I39" s="91">
        <f t="shared" si="1"/>
        <v>0.4391965794968679</v>
      </c>
      <c r="J39" s="91"/>
      <c r="K39" s="79">
        <f>K35+K37+K38</f>
        <v>3084.0999999999995</v>
      </c>
      <c r="L39" s="91">
        <f t="shared" si="4"/>
        <v>1.145747543853961</v>
      </c>
      <c r="M39" s="79">
        <f>M35+M37+M38</f>
        <v>627.7</v>
      </c>
      <c r="N39" s="79">
        <f>N35+N37+N38</f>
        <v>558.6</v>
      </c>
      <c r="O39" s="91">
        <f t="shared" si="2"/>
        <v>1.123702112423917</v>
      </c>
      <c r="P39" s="92">
        <f>P35+P37</f>
        <v>57.00000000000001</v>
      </c>
      <c r="Q39" s="79">
        <f>Q35+Q37</f>
        <v>53.1</v>
      </c>
      <c r="R39" s="79">
        <f>R35+R37</f>
        <v>52.39999999999999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91" t="s">
        <v>11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49"/>
      <c r="O1" s="49"/>
      <c r="P1" s="26"/>
      <c r="Q1" s="26"/>
      <c r="R1" s="26"/>
    </row>
    <row r="2" spans="1:18" ht="15.75">
      <c r="A2" s="26"/>
      <c r="B2" s="196" t="s">
        <v>130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3.5" customHeight="1">
      <c r="A3" s="185" t="s">
        <v>3</v>
      </c>
      <c r="B3" s="185" t="s">
        <v>4</v>
      </c>
      <c r="C3" s="185" t="s">
        <v>115</v>
      </c>
      <c r="D3" s="185" t="s">
        <v>24</v>
      </c>
      <c r="E3" s="185" t="s">
        <v>116</v>
      </c>
      <c r="F3" s="185" t="s">
        <v>99</v>
      </c>
      <c r="G3" s="185" t="s">
        <v>120</v>
      </c>
      <c r="H3" s="185" t="s">
        <v>117</v>
      </c>
      <c r="I3" s="185"/>
      <c r="J3" s="185"/>
      <c r="K3" s="185" t="s">
        <v>113</v>
      </c>
      <c r="L3" s="185"/>
      <c r="M3" s="185" t="s">
        <v>123</v>
      </c>
      <c r="N3" s="185" t="s">
        <v>124</v>
      </c>
      <c r="O3" s="185" t="s">
        <v>30</v>
      </c>
      <c r="P3" s="185" t="s">
        <v>9</v>
      </c>
      <c r="Q3" s="185"/>
      <c r="R3" s="185"/>
    </row>
    <row r="4" spans="1:18" ht="104.25" customHeight="1">
      <c r="A4" s="195"/>
      <c r="B4" s="195"/>
      <c r="C4" s="185"/>
      <c r="D4" s="185"/>
      <c r="E4" s="185"/>
      <c r="F4" s="185"/>
      <c r="G4" s="185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5"/>
      <c r="N4" s="185"/>
      <c r="O4" s="185"/>
      <c r="P4" s="122" t="s">
        <v>118</v>
      </c>
      <c r="Q4" s="122" t="s">
        <v>121</v>
      </c>
      <c r="R4" s="122" t="s">
        <v>132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1007</v>
      </c>
      <c r="D5" s="89">
        <f t="shared" si="0"/>
        <v>0</v>
      </c>
      <c r="E5" s="89">
        <f t="shared" si="0"/>
        <v>1007</v>
      </c>
      <c r="F5" s="89">
        <f t="shared" si="0"/>
        <v>0</v>
      </c>
      <c r="G5" s="89">
        <f t="shared" si="0"/>
        <v>421.2</v>
      </c>
      <c r="H5" s="89">
        <f t="shared" si="0"/>
        <v>510.9</v>
      </c>
      <c r="I5" s="90">
        <f aca="true" t="shared" si="1" ref="I5:I39">IF(E5&gt;0,H5/E5,0)</f>
        <v>0.5073485600794438</v>
      </c>
      <c r="J5" s="90">
        <f>IF(F5&gt;0,H5/F5,0)</f>
        <v>0</v>
      </c>
      <c r="K5" s="89">
        <f>K6+K15+K17+K22+K23+K10</f>
        <v>433.8</v>
      </c>
      <c r="L5" s="90">
        <f>IF(K5&gt;0,H5/K5,0)</f>
        <v>1.1777316735822958</v>
      </c>
      <c r="M5" s="89">
        <f>M6+M15+M17+M22+M23+M10</f>
        <v>89.69999999999999</v>
      </c>
      <c r="N5" s="89">
        <f>N6+N15+N17+N22+N23+N10</f>
        <v>67.4</v>
      </c>
      <c r="O5" s="90">
        <f aca="true" t="shared" si="2" ref="O5:O32">IF(N5&gt;0,M5/N5,0)</f>
        <v>1.330860534124629</v>
      </c>
      <c r="P5" s="89">
        <f>P6+P15+P17+P22+P23+P10</f>
        <v>32.099999999999994</v>
      </c>
      <c r="Q5" s="89">
        <f>Q6+Q15+Q17+Q22+Q23+Q10</f>
        <v>30</v>
      </c>
      <c r="R5" s="89">
        <f>R6+R15+R17+R22+R23+R10</f>
        <v>29.8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211.9</v>
      </c>
      <c r="D6" s="72">
        <f t="shared" si="3"/>
        <v>0</v>
      </c>
      <c r="E6" s="72">
        <f t="shared" si="3"/>
        <v>211.9</v>
      </c>
      <c r="F6" s="72">
        <f t="shared" si="3"/>
        <v>0</v>
      </c>
      <c r="G6" s="72">
        <f t="shared" si="3"/>
        <v>62.5</v>
      </c>
      <c r="H6" s="72">
        <f t="shared" si="3"/>
        <v>83.2</v>
      </c>
      <c r="I6" s="87">
        <f t="shared" si="1"/>
        <v>0.39263803680981596</v>
      </c>
      <c r="J6" s="87">
        <f>IF(F6&gt;0,H6/F6,0)</f>
        <v>0</v>
      </c>
      <c r="K6" s="72">
        <f>K7+K8+K9</f>
        <v>95.9</v>
      </c>
      <c r="L6" s="87">
        <f aca="true" t="shared" si="4" ref="L6:L39">IF(K6&gt;0,H6/K6,0)</f>
        <v>0.8675703858185609</v>
      </c>
      <c r="M6" s="72">
        <f>M7+M8+M9</f>
        <v>20.7</v>
      </c>
      <c r="N6" s="72">
        <f>N7+N8+N9</f>
        <v>14.4</v>
      </c>
      <c r="O6" s="87">
        <f t="shared" si="2"/>
        <v>1.4375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211.9</v>
      </c>
      <c r="D7" s="68"/>
      <c r="E7" s="71">
        <f>C7+D7</f>
        <v>211.9</v>
      </c>
      <c r="F7" s="71"/>
      <c r="G7" s="68">
        <v>62.5</v>
      </c>
      <c r="H7" s="68">
        <f>G7+M7</f>
        <v>83.2</v>
      </c>
      <c r="I7" s="77">
        <f t="shared" si="1"/>
        <v>0.39263803680981596</v>
      </c>
      <c r="J7" s="77">
        <f aca="true" t="shared" si="5" ref="J7:J37">IF(F7&gt;0,H7/F7,0)</f>
        <v>0</v>
      </c>
      <c r="K7" s="68">
        <v>95.9</v>
      </c>
      <c r="L7" s="77">
        <f t="shared" si="4"/>
        <v>0.8675703858185609</v>
      </c>
      <c r="M7" s="68">
        <v>20.7</v>
      </c>
      <c r="N7" s="68">
        <v>14.4</v>
      </c>
      <c r="O7" s="77">
        <f t="shared" si="2"/>
        <v>1.4375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724.1</v>
      </c>
      <c r="D10" s="72">
        <f t="shared" si="6"/>
        <v>0</v>
      </c>
      <c r="E10" s="72">
        <f t="shared" si="6"/>
        <v>724.1</v>
      </c>
      <c r="F10" s="72">
        <f t="shared" si="6"/>
        <v>0</v>
      </c>
      <c r="G10" s="72">
        <f>SUM(G11:G14)</f>
        <v>324.3</v>
      </c>
      <c r="H10" s="72">
        <f t="shared" si="6"/>
        <v>393</v>
      </c>
      <c r="I10" s="66">
        <f t="shared" si="1"/>
        <v>0.5427427150946001</v>
      </c>
      <c r="J10" s="66">
        <f>IF(F10&gt;0,H10/F10,0)</f>
        <v>0</v>
      </c>
      <c r="K10" s="72">
        <f>SUM(K11:K14)</f>
        <v>323.7</v>
      </c>
      <c r="L10" s="66">
        <f t="shared" si="4"/>
        <v>1.2140871177015755</v>
      </c>
      <c r="M10" s="72">
        <f>SUM(M11:M14)</f>
        <v>68.69999999999999</v>
      </c>
      <c r="N10" s="72">
        <f>SUM(N11:N14)</f>
        <v>55.1</v>
      </c>
      <c r="O10" s="66">
        <f t="shared" si="2"/>
        <v>1.246823956442831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327.4</v>
      </c>
      <c r="D11" s="71"/>
      <c r="E11" s="67">
        <f>C11+D11</f>
        <v>327.4</v>
      </c>
      <c r="F11" s="67"/>
      <c r="G11" s="71">
        <v>158.8</v>
      </c>
      <c r="H11" s="69">
        <f>G11+M11</f>
        <v>193.4</v>
      </c>
      <c r="I11" s="70">
        <f t="shared" si="1"/>
        <v>0.5907147220525352</v>
      </c>
      <c r="J11" s="70">
        <f>IF(F11&gt;0,H11/F11,0)</f>
        <v>0</v>
      </c>
      <c r="K11" s="71">
        <v>146.3</v>
      </c>
      <c r="L11" s="70">
        <f t="shared" si="4"/>
        <v>1.3219412166780586</v>
      </c>
      <c r="M11" s="71">
        <v>34.6</v>
      </c>
      <c r="N11" s="71">
        <v>24.6</v>
      </c>
      <c r="O11" s="70">
        <f t="shared" si="2"/>
        <v>1.4065040650406504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1.8</v>
      </c>
      <c r="D12" s="71"/>
      <c r="E12" s="67">
        <f>C12+D12</f>
        <v>1.8</v>
      </c>
      <c r="F12" s="67"/>
      <c r="G12" s="71">
        <v>1</v>
      </c>
      <c r="H12" s="69">
        <f>G12+M12</f>
        <v>1.1</v>
      </c>
      <c r="I12" s="70">
        <f t="shared" si="1"/>
        <v>0.6111111111111112</v>
      </c>
      <c r="J12" s="70">
        <f>IF(F12&gt;0,H12/F12,0)</f>
        <v>0</v>
      </c>
      <c r="K12" s="71">
        <v>1.1</v>
      </c>
      <c r="L12" s="70">
        <f t="shared" si="4"/>
        <v>1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436</v>
      </c>
      <c r="D13" s="71"/>
      <c r="E13" s="67">
        <f>C13+D13</f>
        <v>436</v>
      </c>
      <c r="F13" s="67"/>
      <c r="G13" s="71">
        <v>184</v>
      </c>
      <c r="H13" s="69">
        <f>G13+M13</f>
        <v>222.9</v>
      </c>
      <c r="I13" s="70">
        <f t="shared" si="1"/>
        <v>0.5112385321100917</v>
      </c>
      <c r="J13" s="70">
        <f>IF(F13&gt;0,H13/F13,0)</f>
        <v>0</v>
      </c>
      <c r="K13" s="71">
        <v>203.5</v>
      </c>
      <c r="L13" s="70">
        <f t="shared" si="4"/>
        <v>1.0953316953316954</v>
      </c>
      <c r="M13" s="71">
        <v>38.9</v>
      </c>
      <c r="N13" s="71">
        <v>36.4</v>
      </c>
      <c r="O13" s="70">
        <f t="shared" si="2"/>
        <v>1.0686813186813187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-41.1</v>
      </c>
      <c r="D14" s="71"/>
      <c r="E14" s="67">
        <f>C14+D14</f>
        <v>-41.1</v>
      </c>
      <c r="F14" s="67"/>
      <c r="G14" s="71">
        <v>-19.5</v>
      </c>
      <c r="H14" s="69">
        <f>G14+M14</f>
        <v>-24.4</v>
      </c>
      <c r="I14" s="70">
        <f>H14/E14</f>
        <v>0.5936739659367396</v>
      </c>
      <c r="J14" s="70">
        <f>IF(F14&gt;0,H14/F14,0)</f>
        <v>0</v>
      </c>
      <c r="K14" s="71">
        <v>-27.2</v>
      </c>
      <c r="L14" s="70">
        <f t="shared" si="4"/>
        <v>0</v>
      </c>
      <c r="M14" s="71">
        <v>-4.9</v>
      </c>
      <c r="N14" s="71">
        <v>-6.1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3</v>
      </c>
      <c r="D15" s="73">
        <f t="shared" si="7"/>
        <v>0</v>
      </c>
      <c r="E15" s="73">
        <f t="shared" si="7"/>
        <v>3</v>
      </c>
      <c r="F15" s="73">
        <f t="shared" si="7"/>
        <v>0</v>
      </c>
      <c r="G15" s="72">
        <f>G16</f>
        <v>1.6</v>
      </c>
      <c r="H15" s="73">
        <f t="shared" si="7"/>
        <v>1.6</v>
      </c>
      <c r="I15" s="87">
        <f t="shared" si="1"/>
        <v>0.5333333333333333</v>
      </c>
      <c r="J15" s="87">
        <f t="shared" si="5"/>
        <v>0</v>
      </c>
      <c r="K15" s="72">
        <f>K16</f>
        <v>0</v>
      </c>
      <c r="L15" s="87">
        <f t="shared" si="4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3</v>
      </c>
      <c r="D16" s="68"/>
      <c r="E16" s="71">
        <f>C16+D16</f>
        <v>3</v>
      </c>
      <c r="F16" s="71"/>
      <c r="G16" s="71">
        <v>1.6</v>
      </c>
      <c r="H16" s="68">
        <f>G16+M16</f>
        <v>1.6</v>
      </c>
      <c r="I16" s="77">
        <f t="shared" si="1"/>
        <v>0.5333333333333333</v>
      </c>
      <c r="J16" s="77">
        <f t="shared" si="5"/>
        <v>0</v>
      </c>
      <c r="K16" s="71"/>
      <c r="L16" s="77">
        <f t="shared" si="4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65</v>
      </c>
      <c r="D17" s="73">
        <f t="shared" si="8"/>
        <v>0</v>
      </c>
      <c r="E17" s="73">
        <f t="shared" si="8"/>
        <v>65</v>
      </c>
      <c r="F17" s="73">
        <f t="shared" si="8"/>
        <v>0</v>
      </c>
      <c r="G17" s="72">
        <f>G18+G21</f>
        <v>32.6</v>
      </c>
      <c r="H17" s="73">
        <f t="shared" si="8"/>
        <v>32.400000000000006</v>
      </c>
      <c r="I17" s="87">
        <f t="shared" si="1"/>
        <v>0.49846153846153857</v>
      </c>
      <c r="J17" s="87">
        <f t="shared" si="5"/>
        <v>0</v>
      </c>
      <c r="K17" s="72">
        <f>K18+K21</f>
        <v>12.9</v>
      </c>
      <c r="L17" s="87">
        <f t="shared" si="4"/>
        <v>2.5116279069767447</v>
      </c>
      <c r="M17" s="72">
        <f>M18+M21</f>
        <v>-0.19999999999999996</v>
      </c>
      <c r="N17" s="72">
        <f>N18+N21</f>
        <v>-2.4000000000000004</v>
      </c>
      <c r="O17" s="87">
        <f t="shared" si="2"/>
        <v>0</v>
      </c>
      <c r="P17" s="72">
        <f>P18+P21</f>
        <v>32.099999999999994</v>
      </c>
      <c r="Q17" s="72">
        <f>Q18+Q21</f>
        <v>30</v>
      </c>
      <c r="R17" s="72">
        <f>R18+R21</f>
        <v>29.8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56</v>
      </c>
      <c r="D18" s="68">
        <f t="shared" si="9"/>
        <v>0</v>
      </c>
      <c r="E18" s="68">
        <f t="shared" si="9"/>
        <v>56</v>
      </c>
      <c r="F18" s="68">
        <f t="shared" si="9"/>
        <v>0</v>
      </c>
      <c r="G18" s="71">
        <f>G19+G20</f>
        <v>32.5</v>
      </c>
      <c r="H18" s="68">
        <f t="shared" si="9"/>
        <v>32.900000000000006</v>
      </c>
      <c r="I18" s="77">
        <f t="shared" si="1"/>
        <v>0.5875000000000001</v>
      </c>
      <c r="J18" s="77">
        <f t="shared" si="5"/>
        <v>0</v>
      </c>
      <c r="K18" s="71">
        <f>K19+K20</f>
        <v>12.9</v>
      </c>
      <c r="L18" s="77">
        <f t="shared" si="4"/>
        <v>2.5503875968992253</v>
      </c>
      <c r="M18" s="71">
        <f>M19+M20</f>
        <v>0.4</v>
      </c>
      <c r="N18" s="71">
        <f>N19+N20</f>
        <v>-2.4000000000000004</v>
      </c>
      <c r="O18" s="77">
        <f t="shared" si="2"/>
        <v>0</v>
      </c>
      <c r="P18" s="71">
        <f>P19+P20</f>
        <v>17.4</v>
      </c>
      <c r="Q18" s="71">
        <f>Q19+Q20</f>
        <v>15.6</v>
      </c>
      <c r="R18" s="71">
        <f>R19+R20</f>
        <v>15.3</v>
      </c>
    </row>
    <row r="19" spans="1:18" ht="18">
      <c r="A19" s="13" t="s">
        <v>100</v>
      </c>
      <c r="B19" s="13">
        <v>1060603310</v>
      </c>
      <c r="C19" s="71">
        <v>28</v>
      </c>
      <c r="D19" s="68"/>
      <c r="E19" s="71">
        <f>C19+D19</f>
        <v>28</v>
      </c>
      <c r="F19" s="71"/>
      <c r="G19" s="71">
        <v>32.1</v>
      </c>
      <c r="H19" s="68">
        <f>G19+M19</f>
        <v>32.2</v>
      </c>
      <c r="I19" s="77">
        <f t="shared" si="1"/>
        <v>1.1500000000000001</v>
      </c>
      <c r="J19" s="77">
        <f t="shared" si="5"/>
        <v>0</v>
      </c>
      <c r="K19" s="71">
        <v>9.3</v>
      </c>
      <c r="L19" s="77">
        <f t="shared" si="4"/>
        <v>3.4623655913978495</v>
      </c>
      <c r="M19" s="71">
        <v>0.1</v>
      </c>
      <c r="N19" s="71">
        <v>-3.2</v>
      </c>
      <c r="O19" s="77">
        <f t="shared" si="2"/>
        <v>0</v>
      </c>
      <c r="P19" s="71"/>
      <c r="Q19" s="71"/>
      <c r="R19" s="71">
        <v>0.4</v>
      </c>
    </row>
    <row r="20" spans="1:18" ht="18">
      <c r="A20" s="13" t="s">
        <v>101</v>
      </c>
      <c r="B20" s="13">
        <v>1060604310</v>
      </c>
      <c r="C20" s="71">
        <v>28</v>
      </c>
      <c r="D20" s="68"/>
      <c r="E20" s="71">
        <f>C20+D20</f>
        <v>28</v>
      </c>
      <c r="F20" s="71"/>
      <c r="G20" s="71">
        <v>0.4</v>
      </c>
      <c r="H20" s="68">
        <f>G20+M20</f>
        <v>0.7</v>
      </c>
      <c r="I20" s="77">
        <f t="shared" si="1"/>
        <v>0.024999999999999998</v>
      </c>
      <c r="J20" s="77">
        <f t="shared" si="5"/>
        <v>0</v>
      </c>
      <c r="K20" s="71">
        <v>3.6</v>
      </c>
      <c r="L20" s="77">
        <f t="shared" si="4"/>
        <v>0.19444444444444442</v>
      </c>
      <c r="M20" s="71">
        <v>0.3</v>
      </c>
      <c r="N20" s="71">
        <v>0.8</v>
      </c>
      <c r="O20" s="77">
        <f t="shared" si="2"/>
        <v>0.37499999999999994</v>
      </c>
      <c r="P20" s="71">
        <v>17.4</v>
      </c>
      <c r="Q20" s="71">
        <v>15.6</v>
      </c>
      <c r="R20" s="71">
        <v>14.9</v>
      </c>
    </row>
    <row r="21" spans="1:20" ht="18">
      <c r="A21" s="13" t="s">
        <v>12</v>
      </c>
      <c r="B21" s="13">
        <v>1060103010</v>
      </c>
      <c r="C21" s="71">
        <v>9</v>
      </c>
      <c r="D21" s="68"/>
      <c r="E21" s="71">
        <f>C21+D21</f>
        <v>9</v>
      </c>
      <c r="F21" s="71"/>
      <c r="G21" s="71">
        <v>0.1</v>
      </c>
      <c r="H21" s="68">
        <f>G21+M21</f>
        <v>-0.5</v>
      </c>
      <c r="I21" s="77">
        <f t="shared" si="1"/>
        <v>-0.05555555555555555</v>
      </c>
      <c r="J21" s="77">
        <f t="shared" si="5"/>
        <v>0</v>
      </c>
      <c r="K21" s="71"/>
      <c r="L21" s="77">
        <f t="shared" si="4"/>
        <v>0</v>
      </c>
      <c r="M21" s="71">
        <v>-0.6</v>
      </c>
      <c r="N21" s="71"/>
      <c r="O21" s="77">
        <f t="shared" si="2"/>
        <v>0</v>
      </c>
      <c r="P21" s="71">
        <v>14.7</v>
      </c>
      <c r="Q21" s="71">
        <v>14.4</v>
      </c>
      <c r="R21" s="71">
        <v>14.5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0.2</v>
      </c>
      <c r="H22" s="73">
        <f>G22+M22</f>
        <v>0.7</v>
      </c>
      <c r="I22" s="87">
        <f t="shared" si="1"/>
        <v>0.2333333333333333</v>
      </c>
      <c r="J22" s="87">
        <f t="shared" si="5"/>
        <v>0</v>
      </c>
      <c r="K22" s="72">
        <v>1.3</v>
      </c>
      <c r="L22" s="87">
        <f t="shared" si="4"/>
        <v>0.5384615384615384</v>
      </c>
      <c r="M22" s="72">
        <v>0.5</v>
      </c>
      <c r="N22" s="72">
        <v>0.3</v>
      </c>
      <c r="O22" s="87">
        <f t="shared" si="2"/>
        <v>1.6666666666666667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120</v>
      </c>
      <c r="D24" s="76">
        <f t="shared" si="10"/>
        <v>200.3</v>
      </c>
      <c r="E24" s="76">
        <f t="shared" si="10"/>
        <v>320.3</v>
      </c>
      <c r="F24" s="76">
        <f t="shared" si="10"/>
        <v>0</v>
      </c>
      <c r="G24" s="76">
        <f>G25+G28+G32+G31+G30+G29</f>
        <v>107.9</v>
      </c>
      <c r="H24" s="76">
        <f t="shared" si="10"/>
        <v>155.7</v>
      </c>
      <c r="I24" s="90">
        <f t="shared" si="1"/>
        <v>0.48610677489853255</v>
      </c>
      <c r="J24" s="90">
        <f t="shared" si="5"/>
        <v>0</v>
      </c>
      <c r="K24" s="76">
        <f>K25+K28+K32+K31+K30+K29</f>
        <v>184.29999999999998</v>
      </c>
      <c r="L24" s="90">
        <f t="shared" si="4"/>
        <v>0.8448182311448725</v>
      </c>
      <c r="M24" s="76">
        <f>M25+M28+M32+M31+M30+M29</f>
        <v>47.8</v>
      </c>
      <c r="N24" s="76">
        <f>N25+N28+N32+N31+N30+N29</f>
        <v>78.5</v>
      </c>
      <c r="O24" s="90">
        <f t="shared" si="2"/>
        <v>0.6089171974522293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70</v>
      </c>
      <c r="D25" s="72">
        <f t="shared" si="11"/>
        <v>0</v>
      </c>
      <c r="E25" s="72">
        <f t="shared" si="11"/>
        <v>70</v>
      </c>
      <c r="F25" s="72">
        <f t="shared" si="11"/>
        <v>0</v>
      </c>
      <c r="G25" s="72">
        <f>G26+G27</f>
        <v>23.7</v>
      </c>
      <c r="H25" s="72">
        <f t="shared" si="11"/>
        <v>28.299999999999997</v>
      </c>
      <c r="I25" s="87">
        <f t="shared" si="1"/>
        <v>0.40428571428571425</v>
      </c>
      <c r="J25" s="87">
        <f t="shared" si="5"/>
        <v>0</v>
      </c>
      <c r="K25" s="72">
        <f>K26+K27</f>
        <v>32.1</v>
      </c>
      <c r="L25" s="87">
        <f t="shared" si="4"/>
        <v>0.8816199376947039</v>
      </c>
      <c r="M25" s="72">
        <f>M26+M27</f>
        <v>4.6</v>
      </c>
      <c r="N25" s="72">
        <f>N26+N27</f>
        <v>5.4</v>
      </c>
      <c r="O25" s="87">
        <f t="shared" si="2"/>
        <v>0.8518518518518517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70</v>
      </c>
      <c r="D27" s="68"/>
      <c r="E27" s="71">
        <f t="shared" si="12"/>
        <v>70</v>
      </c>
      <c r="F27" s="71"/>
      <c r="G27" s="71">
        <v>23.7</v>
      </c>
      <c r="H27" s="68">
        <f t="shared" si="13"/>
        <v>28.299999999999997</v>
      </c>
      <c r="I27" s="77">
        <f t="shared" si="1"/>
        <v>0.40428571428571425</v>
      </c>
      <c r="J27" s="77">
        <f t="shared" si="5"/>
        <v>0</v>
      </c>
      <c r="K27" s="71">
        <v>32.1</v>
      </c>
      <c r="L27" s="77">
        <f t="shared" si="4"/>
        <v>0.8816199376947039</v>
      </c>
      <c r="M27" s="71">
        <v>4.6</v>
      </c>
      <c r="N27" s="71">
        <v>5.4</v>
      </c>
      <c r="O27" s="77">
        <f t="shared" si="2"/>
        <v>0.8518518518518517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50</v>
      </c>
      <c r="D28" s="72">
        <v>200.3</v>
      </c>
      <c r="E28" s="126">
        <f t="shared" si="12"/>
        <v>250.3</v>
      </c>
      <c r="F28" s="72"/>
      <c r="G28" s="72">
        <v>83.9</v>
      </c>
      <c r="H28" s="73">
        <f t="shared" si="13"/>
        <v>127.2</v>
      </c>
      <c r="I28" s="87">
        <f t="shared" si="1"/>
        <v>0.5081901717938474</v>
      </c>
      <c r="J28" s="87">
        <f t="shared" si="5"/>
        <v>0</v>
      </c>
      <c r="K28" s="72">
        <v>152</v>
      </c>
      <c r="L28" s="87">
        <f t="shared" si="4"/>
        <v>0.8368421052631579</v>
      </c>
      <c r="M28" s="72">
        <v>43.3</v>
      </c>
      <c r="N28" s="72">
        <v>73.1</v>
      </c>
      <c r="O28" s="87">
        <f t="shared" si="2"/>
        <v>0.5923392612859097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 t="shared" si="14"/>
        <v>0.3</v>
      </c>
      <c r="H32" s="72">
        <f t="shared" si="14"/>
        <v>0.19999999999999998</v>
      </c>
      <c r="I32" s="87">
        <f>IF(E32&gt;0,H32/E32,0)</f>
        <v>0</v>
      </c>
      <c r="J32" s="87">
        <f>IF(F32&gt;0,H32/F32,0)</f>
        <v>0</v>
      </c>
      <c r="K32" s="72">
        <f>SUM(K33:K34)</f>
        <v>0.2</v>
      </c>
      <c r="L32" s="87">
        <f t="shared" si="4"/>
        <v>0.9999999999999999</v>
      </c>
      <c r="M32" s="72">
        <f t="shared" si="14"/>
        <v>-0.1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>
        <v>0.3</v>
      </c>
      <c r="H34" s="68">
        <f>G34+M34</f>
        <v>0.19999999999999998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0.9999999999999999</v>
      </c>
      <c r="M34" s="71">
        <v>-0.1</v>
      </c>
      <c r="N34" s="71"/>
      <c r="O34" s="77">
        <f t="shared" si="15"/>
        <v>0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1127</v>
      </c>
      <c r="D35" s="78">
        <f t="shared" si="16"/>
        <v>200.3</v>
      </c>
      <c r="E35" s="78">
        <f t="shared" si="16"/>
        <v>1327.3</v>
      </c>
      <c r="F35" s="79">
        <f t="shared" si="16"/>
        <v>0</v>
      </c>
      <c r="G35" s="79">
        <f>G5+G24</f>
        <v>529.1</v>
      </c>
      <c r="H35" s="79">
        <f t="shared" si="16"/>
        <v>666.5999999999999</v>
      </c>
      <c r="I35" s="91">
        <f t="shared" si="1"/>
        <v>0.502222557070745</v>
      </c>
      <c r="J35" s="91">
        <f t="shared" si="5"/>
        <v>0</v>
      </c>
      <c r="K35" s="79">
        <f>K5+K24</f>
        <v>618.1</v>
      </c>
      <c r="L35" s="91">
        <f t="shared" si="4"/>
        <v>1.0784662675942402</v>
      </c>
      <c r="M35" s="79">
        <f>M5+M24</f>
        <v>137.5</v>
      </c>
      <c r="N35" s="79">
        <f>N5+N24</f>
        <v>145.9</v>
      </c>
      <c r="O35" s="91">
        <f t="shared" si="15"/>
        <v>0.9424263193968471</v>
      </c>
      <c r="P35" s="79">
        <f>P5+P24</f>
        <v>32.099999999999994</v>
      </c>
      <c r="Q35" s="79">
        <f>Q5+Q24</f>
        <v>30</v>
      </c>
      <c r="R35" s="79">
        <f>R5+R24</f>
        <v>29.8</v>
      </c>
      <c r="S35" s="177"/>
    </row>
    <row r="36" spans="1:18" ht="18">
      <c r="A36" s="9" t="s">
        <v>92</v>
      </c>
      <c r="B36" s="9"/>
      <c r="C36" s="79">
        <f aca="true" t="shared" si="17" ref="C36:H36">C35-C10</f>
        <v>402.9</v>
      </c>
      <c r="D36" s="88">
        <f t="shared" si="17"/>
        <v>200.3</v>
      </c>
      <c r="E36" s="79">
        <f t="shared" si="17"/>
        <v>603.1999999999999</v>
      </c>
      <c r="F36" s="79">
        <f t="shared" si="17"/>
        <v>0</v>
      </c>
      <c r="G36" s="79">
        <f>G35-G10</f>
        <v>204.8</v>
      </c>
      <c r="H36" s="79">
        <f t="shared" si="17"/>
        <v>273.5999999999999</v>
      </c>
      <c r="I36" s="91">
        <f>IF(E36&gt;0,H36/E36,0)</f>
        <v>0.4535809018567638</v>
      </c>
      <c r="J36" s="91">
        <f>IF(F36&gt;0,H36/F36,0)</f>
        <v>0</v>
      </c>
      <c r="K36" s="79">
        <f>K35-K10</f>
        <v>294.40000000000003</v>
      </c>
      <c r="L36" s="91">
        <f t="shared" si="4"/>
        <v>0.9293478260869561</v>
      </c>
      <c r="M36" s="79">
        <f>M35-M10</f>
        <v>68.80000000000001</v>
      </c>
      <c r="N36" s="79">
        <f>N35-N10</f>
        <v>90.80000000000001</v>
      </c>
      <c r="O36" s="91">
        <f t="shared" si="15"/>
        <v>0.7577092511013216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3238.7</v>
      </c>
      <c r="D37" s="83">
        <v>150</v>
      </c>
      <c r="E37" s="83">
        <f>C37+D37</f>
        <v>3388.7</v>
      </c>
      <c r="F37" s="71"/>
      <c r="G37" s="71">
        <v>1256.6</v>
      </c>
      <c r="H37" s="68">
        <f>G37+M37</f>
        <v>1509.6</v>
      </c>
      <c r="I37" s="77">
        <f t="shared" si="1"/>
        <v>0.4454805677693511</v>
      </c>
      <c r="J37" s="77">
        <f t="shared" si="5"/>
        <v>0</v>
      </c>
      <c r="K37" s="71">
        <v>1320</v>
      </c>
      <c r="L37" s="77">
        <f t="shared" si="4"/>
        <v>1.1436363636363636</v>
      </c>
      <c r="M37" s="71">
        <v>253</v>
      </c>
      <c r="N37" s="71">
        <v>208.8</v>
      </c>
      <c r="O37" s="77">
        <f t="shared" si="15"/>
        <v>1.2116858237547892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190</v>
      </c>
      <c r="L38" s="77">
        <f t="shared" si="4"/>
        <v>0</v>
      </c>
      <c r="M38" s="71"/>
      <c r="N38" s="71">
        <v>50</v>
      </c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4365.7</v>
      </c>
      <c r="D39" s="78">
        <f t="shared" si="18"/>
        <v>350.3</v>
      </c>
      <c r="E39" s="78">
        <f t="shared" si="18"/>
        <v>4716</v>
      </c>
      <c r="F39" s="79">
        <f t="shared" si="18"/>
        <v>0</v>
      </c>
      <c r="G39" s="79">
        <f t="shared" si="18"/>
        <v>1785.6999999999998</v>
      </c>
      <c r="H39" s="79">
        <f t="shared" si="18"/>
        <v>2176.2</v>
      </c>
      <c r="I39" s="91">
        <f t="shared" si="1"/>
        <v>0.4614503816793893</v>
      </c>
      <c r="J39" s="91"/>
      <c r="K39" s="79">
        <f>K35+K37+K38</f>
        <v>2128.1</v>
      </c>
      <c r="L39" s="91">
        <f t="shared" si="4"/>
        <v>1.0226023213194868</v>
      </c>
      <c r="M39" s="79">
        <f>M35+M37+M38</f>
        <v>390.5</v>
      </c>
      <c r="N39" s="79">
        <f>N35+N37+N38</f>
        <v>404.70000000000005</v>
      </c>
      <c r="O39" s="91">
        <f t="shared" si="15"/>
        <v>0.9649122807017543</v>
      </c>
      <c r="P39" s="79">
        <f>P35+P37+P38</f>
        <v>32.099999999999994</v>
      </c>
      <c r="Q39" s="79">
        <f>Q35+Q37+Q38</f>
        <v>30</v>
      </c>
      <c r="R39" s="79">
        <f>R35+R37+R38</f>
        <v>29.8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pane xSplit="2" ySplit="6" topLeftCell="E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4" sqref="R24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3.00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6.5" customHeight="1">
      <c r="A2" s="198" t="s">
        <v>131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5.75" customHeight="1">
      <c r="A3" s="200" t="s">
        <v>3</v>
      </c>
      <c r="B3" s="200" t="s">
        <v>4</v>
      </c>
      <c r="C3" s="199" t="s">
        <v>115</v>
      </c>
      <c r="D3" s="199" t="s">
        <v>24</v>
      </c>
      <c r="E3" s="199" t="s">
        <v>116</v>
      </c>
      <c r="F3" s="199" t="s">
        <v>99</v>
      </c>
      <c r="G3" s="199" t="s">
        <v>120</v>
      </c>
      <c r="H3" s="199" t="s">
        <v>117</v>
      </c>
      <c r="I3" s="199"/>
      <c r="J3" s="199"/>
      <c r="K3" s="199" t="s">
        <v>113</v>
      </c>
      <c r="L3" s="199"/>
      <c r="M3" s="199" t="s">
        <v>123</v>
      </c>
      <c r="N3" s="199" t="s">
        <v>124</v>
      </c>
      <c r="O3" s="199" t="s">
        <v>30</v>
      </c>
      <c r="P3" s="199" t="s">
        <v>9</v>
      </c>
      <c r="Q3" s="199"/>
      <c r="R3" s="199"/>
    </row>
    <row r="4" spans="1:18" ht="99" customHeight="1">
      <c r="A4" s="201"/>
      <c r="B4" s="201"/>
      <c r="C4" s="199"/>
      <c r="D4" s="199"/>
      <c r="E4" s="199"/>
      <c r="F4" s="199"/>
      <c r="G4" s="199"/>
      <c r="H4" s="127" t="s">
        <v>122</v>
      </c>
      <c r="I4" s="127" t="s">
        <v>10</v>
      </c>
      <c r="J4" s="127" t="s">
        <v>29</v>
      </c>
      <c r="K4" s="127" t="s">
        <v>122</v>
      </c>
      <c r="L4" s="127" t="s">
        <v>30</v>
      </c>
      <c r="M4" s="199"/>
      <c r="N4" s="199"/>
      <c r="O4" s="199"/>
      <c r="P4" s="125" t="s">
        <v>118</v>
      </c>
      <c r="Q4" s="125" t="s">
        <v>121</v>
      </c>
      <c r="R4" s="125" t="s">
        <v>132</v>
      </c>
    </row>
    <row r="5" spans="1:18" ht="18">
      <c r="A5" s="7" t="s">
        <v>21</v>
      </c>
      <c r="B5" s="17"/>
      <c r="C5" s="94">
        <f aca="true" t="shared" si="0" ref="C5:H5">C6+C10+C15+C21+C25+C26</f>
        <v>82076.1</v>
      </c>
      <c r="D5" s="94">
        <f t="shared" si="0"/>
        <v>424.353</v>
      </c>
      <c r="E5" s="124">
        <f t="shared" si="0"/>
        <v>82500.45300000001</v>
      </c>
      <c r="F5" s="94" t="e">
        <f t="shared" si="0"/>
        <v>#REF!</v>
      </c>
      <c r="G5" s="94">
        <f t="shared" si="0"/>
        <v>45018.90000000001</v>
      </c>
      <c r="H5" s="120">
        <f t="shared" si="0"/>
        <v>52135.399999999994</v>
      </c>
      <c r="I5" s="95">
        <f>IF(E5&gt;0,H5/E5,0)</f>
        <v>0.6319407724949097</v>
      </c>
      <c r="J5" s="95" t="e">
        <f>IF(F5&gt;0,H5/F5,0)</f>
        <v>#REF!</v>
      </c>
      <c r="K5" s="94">
        <f>K6+K10+K15+K21+K25+K26</f>
        <v>40433.3</v>
      </c>
      <c r="L5" s="95">
        <f>IF(K5&gt;0,H5/K5,0)</f>
        <v>1.289417386164374</v>
      </c>
      <c r="M5" s="94">
        <f>M6+M10+M15+M21+M25+M26</f>
        <v>7116.5</v>
      </c>
      <c r="N5" s="94">
        <f>N6+N10+N15+N21+N25+N26</f>
        <v>4262.300000000001</v>
      </c>
      <c r="O5" s="95">
        <f>IF(N5&gt;0,M5/N5,0)</f>
        <v>1.669638458109471</v>
      </c>
      <c r="P5" s="120">
        <f>P6+P10+P15+P21+P25+P26</f>
        <v>672.8000000000001</v>
      </c>
      <c r="Q5" s="94">
        <f>Q6+Q10+Q15+Q21+Q25+Q26</f>
        <v>16470</v>
      </c>
      <c r="R5" s="94">
        <f>R6+R10+R15+R21+R25+R26</f>
        <v>1529.3000000000002</v>
      </c>
    </row>
    <row r="6" spans="1:19" ht="18">
      <c r="A6" s="9" t="s">
        <v>63</v>
      </c>
      <c r="B6" s="18">
        <v>1010200001</v>
      </c>
      <c r="C6" s="96">
        <f>C7+C8+C9</f>
        <v>23846.000000000004</v>
      </c>
      <c r="D6" s="153">
        <f>D7+D8+D9</f>
        <v>0</v>
      </c>
      <c r="E6" s="153">
        <f>E7+E8+E9</f>
        <v>23846.000000000004</v>
      </c>
      <c r="F6" s="96" t="e">
        <f>F7+F8+F9+#REF!</f>
        <v>#REF!</v>
      </c>
      <c r="G6" s="96">
        <f>G7+G8+G9</f>
        <v>9001.699999999999</v>
      </c>
      <c r="H6" s="96">
        <f>H7+H8+H9</f>
        <v>11188.899999999998</v>
      </c>
      <c r="I6" s="97">
        <f aca="true" t="shared" si="1" ref="I6:I52">IF(E6&gt;0,H6/E6,0)</f>
        <v>0.4692149626771784</v>
      </c>
      <c r="J6" s="97" t="e">
        <f aca="true" t="shared" si="2" ref="J6:J52">IF(F6&gt;0,H6/F6,0)</f>
        <v>#REF!</v>
      </c>
      <c r="K6" s="96">
        <f>K7+K8+K9</f>
        <v>10847.400000000001</v>
      </c>
      <c r="L6" s="97">
        <f aca="true" t="shared" si="3" ref="L6:L52">IF(K6&gt;0,H6/K6,0)</f>
        <v>1.031482198499179</v>
      </c>
      <c r="M6" s="96">
        <f>M7+M8+M9</f>
        <v>2187.2</v>
      </c>
      <c r="N6" s="96">
        <f>N7+N8+N9</f>
        <v>1769.9</v>
      </c>
      <c r="O6" s="97">
        <f aca="true" t="shared" si="4" ref="O6:O52">IF(N6&gt;0,M6/N6,0)</f>
        <v>1.2357760325442113</v>
      </c>
      <c r="P6" s="96">
        <f>P7+P8+P9</f>
        <v>38.7</v>
      </c>
      <c r="Q6" s="96">
        <f>Q7+Q8+Q9</f>
        <v>98.6</v>
      </c>
      <c r="R6" s="170">
        <f>R7+R8+R9</f>
        <v>36.699999999999996</v>
      </c>
      <c r="S6" s="171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23729.000000000004</v>
      </c>
      <c r="D7" s="118">
        <f>муниц!D6+'Лен '!D7+Высокор!D7+Гост!D7+Новотр!D7+Черн!D7</f>
        <v>0</v>
      </c>
      <c r="E7" s="102">
        <f>C7+D7</f>
        <v>23729.000000000004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8854.199999999999</v>
      </c>
      <c r="H7" s="100">
        <f>G7+M7</f>
        <v>10976.899999999998</v>
      </c>
      <c r="I7" s="101">
        <f t="shared" si="1"/>
        <v>0.4625942939019763</v>
      </c>
      <c r="J7" s="101">
        <f t="shared" si="2"/>
        <v>1.1172758455728926</v>
      </c>
      <c r="K7" s="98">
        <f>муниц!K6+'Лен '!K7+Высокор!K7+Гост!K7+Новотр!K7+Черн!K7</f>
        <v>10775.1</v>
      </c>
      <c r="L7" s="101">
        <f t="shared" si="3"/>
        <v>1.018728364469935</v>
      </c>
      <c r="M7" s="98">
        <f>муниц!M6+'Лен '!M7+Высокор!M7+Гост!M7+Новотр!M7+Черн!M7</f>
        <v>2122.7</v>
      </c>
      <c r="N7" s="98">
        <f>муниц!N6+'Лен '!N7+Высокор!N7+Гост!N7+Новотр!N7+Черн!N7</f>
        <v>1768.5</v>
      </c>
      <c r="O7" s="101">
        <f t="shared" si="4"/>
        <v>1.200282725473565</v>
      </c>
      <c r="P7" s="98">
        <f>муниц!P6+'Лен '!P7+Высокор!P7+Гост!P7+Новотр!P7+Черн!P7</f>
        <v>30.5</v>
      </c>
      <c r="Q7" s="98">
        <f>муниц!Q6+'Лен '!Q7+Высокор!Q7+Гост!Q7+Новотр!Q7+Черн!Q7</f>
        <v>95.1</v>
      </c>
      <c r="R7" s="98">
        <f>муниц!R6+'Лен '!R7+Высокор!R7+Гост!R7+Новотр!R7+Черн!R7</f>
        <v>33.3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0</v>
      </c>
      <c r="E8" s="102">
        <f>C8+D8</f>
        <v>54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43</v>
      </c>
      <c r="H8" s="100">
        <f>G8+M8</f>
        <v>59.7</v>
      </c>
      <c r="I8" s="101">
        <f t="shared" si="1"/>
        <v>1.1055555555555556</v>
      </c>
      <c r="J8" s="101">
        <f t="shared" si="2"/>
        <v>2.2873563218390807</v>
      </c>
      <c r="K8" s="98">
        <f>муниц!K7+'Лен '!K8+Высокор!K8+Гост!K8+Новотр!K8+Черн!K8</f>
        <v>30.200000000000003</v>
      </c>
      <c r="L8" s="101">
        <f t="shared" si="3"/>
        <v>1.9768211920529801</v>
      </c>
      <c r="M8" s="98">
        <f>муниц!M7+'Лен '!M8+Высокор!M8+Гост!M8+Новотр!M8+Черн!M8</f>
        <v>16.7</v>
      </c>
      <c r="N8" s="98">
        <f>муниц!N7+'Лен '!N8+Высокор!N8+Гост!N8+Новотр!N8+Черн!N8</f>
        <v>0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63</v>
      </c>
      <c r="D9" s="98">
        <f>муниц!D8+'Лен '!D9+Высокор!D9+Гост!D9+Новотр!D9+Черн!D9</f>
        <v>0</v>
      </c>
      <c r="E9" s="99">
        <f>C9+D9</f>
        <v>63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104.5</v>
      </c>
      <c r="H9" s="100">
        <f>G9+M9</f>
        <v>152.3</v>
      </c>
      <c r="I9" s="101">
        <f t="shared" si="1"/>
        <v>2.4174603174603178</v>
      </c>
      <c r="J9" s="101">
        <f t="shared" si="2"/>
        <v>3.240425531914894</v>
      </c>
      <c r="K9" s="98">
        <f>муниц!K8+'Лен '!K9+Высокор!K9+Гост!K9+Новотр!K9+Черн!K9</f>
        <v>42.1</v>
      </c>
      <c r="L9" s="101">
        <f t="shared" si="3"/>
        <v>3.617577197149644</v>
      </c>
      <c r="M9" s="98">
        <f>муниц!M8+'Лен '!M9+Высокор!M9+Гост!M9+Новотр!M9+Черн!M9</f>
        <v>47.8</v>
      </c>
      <c r="N9" s="98">
        <f>муниц!N8+'Лен '!N9+Высокор!N9+Гост!N9+Новотр!N9+Черн!N9</f>
        <v>1.4000000000000001</v>
      </c>
      <c r="O9" s="101">
        <f t="shared" si="4"/>
        <v>34.14285714285714</v>
      </c>
      <c r="P9" s="98">
        <f>муниц!P8+'Лен '!P9+Высокор!P9+Гост!P9+Новотр!P9+Черн!P9</f>
        <v>8.2</v>
      </c>
      <c r="Q9" s="98">
        <f>муниц!Q8+'Лен '!Q9+Высокор!Q9+Гост!Q9+Новотр!Q9+Черн!Q9</f>
        <v>3.5</v>
      </c>
      <c r="R9" s="98">
        <f>муниц!R8+'Лен '!R9+Высокор!R9+Гост!R9+Новотр!R9+Черн!R9</f>
        <v>3.4</v>
      </c>
      <c r="S9" s="26"/>
    </row>
    <row r="10" spans="1:19" ht="18" customHeight="1">
      <c r="A10" s="11" t="s">
        <v>48</v>
      </c>
      <c r="B10" s="19">
        <v>1030200001</v>
      </c>
      <c r="C10" s="103">
        <f aca="true" t="shared" si="5" ref="C10:H10">SUM(C11:C14)</f>
        <v>12773.099999999999</v>
      </c>
      <c r="D10" s="103">
        <f t="shared" si="5"/>
        <v>0</v>
      </c>
      <c r="E10" s="103">
        <f t="shared" si="5"/>
        <v>12773.099999999999</v>
      </c>
      <c r="F10" s="103">
        <f t="shared" si="5"/>
        <v>0</v>
      </c>
      <c r="G10" s="103">
        <f t="shared" si="5"/>
        <v>5707.4000000000015</v>
      </c>
      <c r="H10" s="103">
        <f t="shared" si="5"/>
        <v>6917.700000000001</v>
      </c>
      <c r="I10" s="97">
        <f t="shared" si="1"/>
        <v>0.5415834840406794</v>
      </c>
      <c r="J10" s="97">
        <f t="shared" si="2"/>
        <v>0</v>
      </c>
      <c r="K10" s="103">
        <f>SUM(K11:K14)</f>
        <v>5702.7</v>
      </c>
      <c r="L10" s="97">
        <f t="shared" si="3"/>
        <v>1.2130569730127836</v>
      </c>
      <c r="M10" s="103">
        <f>SUM(M11:M14)</f>
        <v>1210.3000000000002</v>
      </c>
      <c r="N10" s="103">
        <f>SUM(N11:N14)</f>
        <v>970.8000000000001</v>
      </c>
      <c r="O10" s="97">
        <f t="shared" si="4"/>
        <v>1.2467037494849609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5775.2</v>
      </c>
      <c r="D11" s="98">
        <f>муниц!D10+'Лен '!D11+Высокор!D11+Гост!D11+Новотр!D11+Черн!D11</f>
        <v>0</v>
      </c>
      <c r="E11" s="99">
        <f>C11+D11</f>
        <v>5775.2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2794.6000000000004</v>
      </c>
      <c r="H11" s="100">
        <f>G11+M11</f>
        <v>3405.0000000000005</v>
      </c>
      <c r="I11" s="101">
        <f t="shared" si="1"/>
        <v>0.5895899709100985</v>
      </c>
      <c r="J11" s="101">
        <f t="shared" si="2"/>
        <v>0</v>
      </c>
      <c r="K11" s="98">
        <f>муниц!K10+'Лен '!K11+Высокор!K11+Гост!K11+Новотр!K11+Черн!K11</f>
        <v>2578.7</v>
      </c>
      <c r="L11" s="101">
        <f t="shared" si="3"/>
        <v>1.320432776205065</v>
      </c>
      <c r="M11" s="98">
        <f>муниц!M10+'Лен '!M11+Высокор!M11+Гост!M11+Новотр!M11+Черн!M11</f>
        <v>610.4</v>
      </c>
      <c r="N11" s="98">
        <f>муниц!N10+'Лен '!N11+Высокор!N11+Гост!N11+Новотр!N11+Черн!N11</f>
        <v>434.20000000000005</v>
      </c>
      <c r="O11" s="101">
        <f t="shared" si="4"/>
        <v>1.405803777061262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31.900000000000002</v>
      </c>
      <c r="D12" s="98">
        <f>муниц!D11+'Лен '!D12+Высокор!D12+Гост!D12+Новотр!D12+Черн!D12</f>
        <v>0</v>
      </c>
      <c r="E12" s="99">
        <f>C12+D12</f>
        <v>31.900000000000002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17.3</v>
      </c>
      <c r="H12" s="100">
        <f>G12+M12</f>
        <v>20</v>
      </c>
      <c r="I12" s="101">
        <f t="shared" si="1"/>
        <v>0.6269592476489028</v>
      </c>
      <c r="J12" s="101">
        <f t="shared" si="2"/>
        <v>0</v>
      </c>
      <c r="K12" s="98">
        <f>муниц!K11+'Лен '!K12+Высокор!K12+Гост!K12+Новотр!K12+Черн!K12</f>
        <v>19.500000000000004</v>
      </c>
      <c r="L12" s="101">
        <f t="shared" si="3"/>
        <v>1.0256410256410255</v>
      </c>
      <c r="M12" s="98">
        <f>муниц!M11+'Лен '!M12+Высокор!M12+Гост!M12+Новотр!M12+Черн!M12</f>
        <v>2.7</v>
      </c>
      <c r="N12" s="98">
        <f>муниц!N11+'Лен '!N12+Высокор!N12+Гост!N12+Новотр!N12+Черн!N12</f>
        <v>3.4000000000000004</v>
      </c>
      <c r="O12" s="101">
        <f t="shared" si="4"/>
        <v>0.7941176470588235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7690.200000000001</v>
      </c>
      <c r="D13" s="98">
        <f>муниц!D12+'Лен '!D13+Высокор!D13+Гост!D13+Новотр!D13+Черн!D13</f>
        <v>0</v>
      </c>
      <c r="E13" s="99">
        <f>C13+D13</f>
        <v>7690.200000000001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3238.4</v>
      </c>
      <c r="H13" s="100">
        <f>G13+M13</f>
        <v>3922.4</v>
      </c>
      <c r="I13" s="101">
        <f t="shared" si="1"/>
        <v>0.5100517541806454</v>
      </c>
      <c r="J13" s="101">
        <f t="shared" si="2"/>
        <v>0</v>
      </c>
      <c r="K13" s="98">
        <f>муниц!K12+'Лен '!K13+Высокор!K13+Гост!K13+Новотр!K13+Черн!K13</f>
        <v>3585.7</v>
      </c>
      <c r="L13" s="101">
        <f t="shared" si="3"/>
        <v>1.093900772513038</v>
      </c>
      <c r="M13" s="98">
        <f>муниц!M12+'Лен '!M13+Высокор!M13+Гост!M13+Новотр!M13+Черн!M13</f>
        <v>684.0000000000001</v>
      </c>
      <c r="N13" s="98">
        <f>муниц!N12+'Лен '!N13+Высокор!N13+Гост!N13+Новотр!N13+Черн!N13</f>
        <v>641.3000000000001</v>
      </c>
      <c r="O13" s="101">
        <f t="shared" si="4"/>
        <v>1.0665835022610324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-724.1999999999999</v>
      </c>
      <c r="D14" s="98">
        <f>муниц!D13+'Лен '!D14+Высокор!D14+Гост!D14+Новотр!D14+Черн!D14</f>
        <v>0</v>
      </c>
      <c r="E14" s="99">
        <f>C14+D14</f>
        <v>-724.1999999999999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-342.90000000000003</v>
      </c>
      <c r="H14" s="100">
        <f>G14+M14</f>
        <v>-429.70000000000005</v>
      </c>
      <c r="I14" s="101">
        <f>H14/E14</f>
        <v>0.5933443800055235</v>
      </c>
      <c r="J14" s="101">
        <f t="shared" si="2"/>
        <v>0</v>
      </c>
      <c r="K14" s="98">
        <f>муниц!K13+'Лен '!K14+Высокор!K14+Гост!K14+Новотр!K14+Черн!K14</f>
        <v>-481.20000000000005</v>
      </c>
      <c r="L14" s="101">
        <f t="shared" si="3"/>
        <v>0</v>
      </c>
      <c r="M14" s="98">
        <f>муниц!M13+'Лен '!M14+Высокор!M14+Гост!M14+Новотр!M14+Черн!M14</f>
        <v>-86.80000000000001</v>
      </c>
      <c r="N14" s="98">
        <f>муниц!N13+'Лен '!N14+Высокор!N14+Гост!N14+Новотр!N14+Черн!N14</f>
        <v>-108.1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35760</v>
      </c>
      <c r="D15" s="96">
        <f t="shared" si="6"/>
        <v>424.353</v>
      </c>
      <c r="E15" s="96">
        <f t="shared" si="6"/>
        <v>36184.353</v>
      </c>
      <c r="F15" s="96">
        <f t="shared" si="6"/>
        <v>11352.9</v>
      </c>
      <c r="G15" s="96">
        <f t="shared" si="6"/>
        <v>25797.100000000002</v>
      </c>
      <c r="H15" s="96">
        <f t="shared" si="6"/>
        <v>27489.499999999996</v>
      </c>
      <c r="I15" s="97">
        <f t="shared" si="1"/>
        <v>0.7597068268707193</v>
      </c>
      <c r="J15" s="97">
        <f t="shared" si="2"/>
        <v>2.4213637044279435</v>
      </c>
      <c r="K15" s="96">
        <f>K16+K17+K18+K19+K20</f>
        <v>19739.8</v>
      </c>
      <c r="L15" s="97">
        <f t="shared" si="3"/>
        <v>1.3925926301178329</v>
      </c>
      <c r="M15" s="96">
        <f>M16+M17+M18+M19+M20</f>
        <v>1692.4</v>
      </c>
      <c r="N15" s="96">
        <f>N16+N17+N18+N19+N20</f>
        <v>1326.3999999999999</v>
      </c>
      <c r="O15" s="97">
        <f t="shared" si="4"/>
        <v>1.2759348612786492</v>
      </c>
      <c r="P15" s="96">
        <f>P16+P17+P18+P19+P20</f>
        <v>150.4</v>
      </c>
      <c r="Q15" s="96">
        <f>Q16+Q17+Q18+Q19+Q20</f>
        <v>16026.099999999999</v>
      </c>
      <c r="R15" s="96">
        <f>R16+R17+R18+R19+R20</f>
        <v>1115.6000000000001</v>
      </c>
      <c r="S15" s="26"/>
    </row>
    <row r="16" spans="1:19" ht="18">
      <c r="A16" s="10" t="s">
        <v>53</v>
      </c>
      <c r="B16" s="28">
        <v>1050101001</v>
      </c>
      <c r="C16" s="98">
        <f>муниц!C15</f>
        <v>28100</v>
      </c>
      <c r="D16" s="98">
        <f>муниц!D15</f>
        <v>0</v>
      </c>
      <c r="E16" s="102">
        <f>C16+D16</f>
        <v>28100</v>
      </c>
      <c r="F16" s="98">
        <f>муниц!F15</f>
        <v>7051</v>
      </c>
      <c r="G16" s="98">
        <f>муниц!G15</f>
        <v>19848.5</v>
      </c>
      <c r="H16" s="100">
        <f>G16+M16</f>
        <v>20822.6</v>
      </c>
      <c r="I16" s="101">
        <f t="shared" si="1"/>
        <v>0.741017793594306</v>
      </c>
      <c r="J16" s="101">
        <f t="shared" si="2"/>
        <v>2.9531413983832078</v>
      </c>
      <c r="K16" s="98">
        <f>муниц!K15</f>
        <v>13572.5</v>
      </c>
      <c r="L16" s="101">
        <f t="shared" si="3"/>
        <v>1.5341757229692392</v>
      </c>
      <c r="M16" s="98">
        <f>муниц!M15</f>
        <v>974.1</v>
      </c>
      <c r="N16" s="98">
        <f>муниц!N15</f>
        <v>1150.6</v>
      </c>
      <c r="O16" s="101">
        <f t="shared" si="4"/>
        <v>0.8466017729880063</v>
      </c>
      <c r="P16" s="98">
        <f>муниц!P15</f>
        <v>146</v>
      </c>
      <c r="Q16" s="98">
        <f>муниц!Q15</f>
        <v>15463.8</v>
      </c>
      <c r="R16" s="98">
        <f>муниц!R15</f>
        <v>1071.7</v>
      </c>
      <c r="S16" s="26"/>
    </row>
    <row r="17" spans="1:19" ht="18">
      <c r="A17" s="10" t="s">
        <v>54</v>
      </c>
      <c r="B17" s="28">
        <v>1050102001</v>
      </c>
      <c r="C17" s="98">
        <f>муниц!C16</f>
        <v>6000</v>
      </c>
      <c r="D17" s="98">
        <f>муниц!D16</f>
        <v>0</v>
      </c>
      <c r="E17" s="102">
        <f>C17+D17</f>
        <v>6000</v>
      </c>
      <c r="F17" s="98">
        <f>муниц!F16</f>
        <v>1509</v>
      </c>
      <c r="G17" s="98">
        <f>муниц!G16</f>
        <v>4572.9</v>
      </c>
      <c r="H17" s="100">
        <f>G17+M17</f>
        <v>5250.799999999999</v>
      </c>
      <c r="I17" s="101">
        <f t="shared" si="1"/>
        <v>0.8751333333333332</v>
      </c>
      <c r="J17" s="101">
        <f t="shared" si="2"/>
        <v>3.4796554009277663</v>
      </c>
      <c r="K17" s="98">
        <f>муниц!K16</f>
        <v>3908.2</v>
      </c>
      <c r="L17" s="101">
        <f t="shared" si="3"/>
        <v>1.3435341077733993</v>
      </c>
      <c r="M17" s="98">
        <f>муниц!M16</f>
        <v>677.9</v>
      </c>
      <c r="N17" s="98">
        <f>муниц!N16</f>
        <v>24.6</v>
      </c>
      <c r="O17" s="101">
        <f t="shared" si="4"/>
        <v>27.55691056910569</v>
      </c>
      <c r="P17" s="98">
        <f>муниц!P16</f>
        <v>2.3</v>
      </c>
      <c r="Q17" s="98">
        <f>муниц!Q16</f>
        <v>534.3</v>
      </c>
      <c r="R17" s="98">
        <f>муниц!R16</f>
        <v>15.9</v>
      </c>
      <c r="S17" s="26"/>
    </row>
    <row r="18" spans="1:19" ht="18">
      <c r="A18" s="13" t="s">
        <v>0</v>
      </c>
      <c r="B18" s="28">
        <v>1050200001</v>
      </c>
      <c r="C18" s="98">
        <f>муниц!C17</f>
        <v>0</v>
      </c>
      <c r="D18" s="98">
        <f>муниц!D17</f>
        <v>0</v>
      </c>
      <c r="E18" s="102">
        <f>C18+D18</f>
        <v>0</v>
      </c>
      <c r="F18" s="98">
        <f>муниц!F17</f>
        <v>2641</v>
      </c>
      <c r="G18" s="98">
        <f>муниц!G17</f>
        <v>-13.2</v>
      </c>
      <c r="H18" s="100">
        <f>G18+M18</f>
        <v>-13.2</v>
      </c>
      <c r="I18" s="101">
        <f t="shared" si="1"/>
        <v>0</v>
      </c>
      <c r="J18" s="101">
        <f t="shared" si="2"/>
        <v>-0.004998106777735706</v>
      </c>
      <c r="K18" s="98">
        <f>муниц!K17</f>
        <v>1320.7</v>
      </c>
      <c r="L18" s="101">
        <f t="shared" si="3"/>
        <v>-0.009994699780419473</v>
      </c>
      <c r="M18" s="98">
        <f>муниц!M17</f>
        <v>0</v>
      </c>
      <c r="N18" s="98">
        <f>муниц!N17</f>
        <v>6.5</v>
      </c>
      <c r="O18" s="101">
        <f t="shared" si="4"/>
        <v>0</v>
      </c>
      <c r="P18" s="98">
        <f>муниц!P17</f>
        <v>2.1</v>
      </c>
      <c r="Q18" s="98">
        <f>муниц!Q17</f>
        <v>0</v>
      </c>
      <c r="R18" s="98">
        <f>муниц!R17</f>
        <v>0</v>
      </c>
      <c r="S18" s="26"/>
    </row>
    <row r="19" spans="1:19" ht="18">
      <c r="A19" s="13" t="s">
        <v>7</v>
      </c>
      <c r="B19" s="28">
        <v>1050300001</v>
      </c>
      <c r="C19" s="98">
        <f>муниц!C18+'Лен '!C16+Высокор!C16+Гост!C16+Новотр!C16+Черн!C16</f>
        <v>420</v>
      </c>
      <c r="D19" s="98">
        <f>муниц!D18+'Лен '!D16+Высокор!D16+Гост!D16+Новотр!D16+Черн!D16</f>
        <v>424.353</v>
      </c>
      <c r="E19" s="119">
        <f>C19+D19</f>
        <v>844.3530000000001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689.2</v>
      </c>
      <c r="H19" s="100">
        <f>G19+M19</f>
        <v>689.2</v>
      </c>
      <c r="I19" s="101">
        <f t="shared" si="1"/>
        <v>0.8162462856175083</v>
      </c>
      <c r="J19" s="101">
        <f t="shared" si="2"/>
        <v>10.93968253968254</v>
      </c>
      <c r="K19" s="98">
        <f>муниц!K18+'Лен '!K16+Высокор!K16+Гост!K16+Новотр!K16+Черн!K16</f>
        <v>65.1</v>
      </c>
      <c r="L19" s="101">
        <f t="shared" si="3"/>
        <v>10.586789554531492</v>
      </c>
      <c r="M19" s="98">
        <f>муниц!M18+'Лен '!M16+Высокор!M16+Гост!M16+Новотр!M16+Черн!M16</f>
        <v>0</v>
      </c>
      <c r="N19" s="98">
        <f>муниц!N18+'Лен '!N16+Высокор!N16+Гост!N16+Новотр!N16+Черн!N16</f>
        <v>0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0</v>
      </c>
      <c r="R19" s="98">
        <f>муниц!R18+'Лен '!R16+Высокор!R16+Гост!R16+Новотр!R16+Черн!R16</f>
        <v>0</v>
      </c>
      <c r="S19" s="26"/>
    </row>
    <row r="20" spans="1:19" ht="18">
      <c r="A20" s="10" t="s">
        <v>96</v>
      </c>
      <c r="B20" s="28">
        <v>1050402002</v>
      </c>
      <c r="C20" s="98">
        <f>муниц!C19</f>
        <v>1240</v>
      </c>
      <c r="D20" s="98">
        <f>муниц!D19</f>
        <v>0</v>
      </c>
      <c r="E20" s="102">
        <f>C20+D20</f>
        <v>1240</v>
      </c>
      <c r="F20" s="98">
        <f>муниц!F19</f>
        <v>88.9</v>
      </c>
      <c r="G20" s="98">
        <f>муниц!G19</f>
        <v>699.7</v>
      </c>
      <c r="H20" s="100">
        <f>G20+M20</f>
        <v>740.1</v>
      </c>
      <c r="I20" s="101">
        <f t="shared" si="1"/>
        <v>0.5968548387096775</v>
      </c>
      <c r="J20" s="101">
        <f t="shared" si="2"/>
        <v>8.325084364454442</v>
      </c>
      <c r="K20" s="98">
        <f>муниц!K19</f>
        <v>873.3</v>
      </c>
      <c r="L20" s="101">
        <f t="shared" si="3"/>
        <v>0.8474750944692546</v>
      </c>
      <c r="M20" s="98">
        <f>муниц!M19</f>
        <v>40.4</v>
      </c>
      <c r="N20" s="98">
        <f>муниц!N19</f>
        <v>144.7</v>
      </c>
      <c r="O20" s="101">
        <f t="shared" si="4"/>
        <v>0.2791983413959917</v>
      </c>
      <c r="P20" s="98">
        <f>муниц!P19</f>
        <v>0</v>
      </c>
      <c r="Q20" s="98">
        <f>муниц!Q19</f>
        <v>28</v>
      </c>
      <c r="R20" s="98">
        <f>муниц!R19</f>
        <v>28</v>
      </c>
      <c r="S20" s="26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8973</v>
      </c>
      <c r="D21" s="104">
        <f t="shared" si="7"/>
        <v>0</v>
      </c>
      <c r="E21" s="104">
        <f t="shared" si="7"/>
        <v>8973</v>
      </c>
      <c r="F21" s="104">
        <f t="shared" si="7"/>
        <v>1983</v>
      </c>
      <c r="G21" s="104">
        <f t="shared" si="7"/>
        <v>4117.8</v>
      </c>
      <c r="H21" s="104">
        <f t="shared" si="7"/>
        <v>4331.9</v>
      </c>
      <c r="I21" s="97">
        <f t="shared" si="1"/>
        <v>0.4827705338236933</v>
      </c>
      <c r="J21" s="97">
        <f t="shared" si="2"/>
        <v>2.1845184064548664</v>
      </c>
      <c r="K21" s="104">
        <f>K22+K23+K24</f>
        <v>3842.4</v>
      </c>
      <c r="L21" s="97">
        <f t="shared" si="3"/>
        <v>1.1273943368727877</v>
      </c>
      <c r="M21" s="104">
        <f>M22+M23+M24</f>
        <v>214.10000000000002</v>
      </c>
      <c r="N21" s="104">
        <f>N22+N23+N24</f>
        <v>133.6</v>
      </c>
      <c r="O21" s="97">
        <f t="shared" si="4"/>
        <v>1.602544910179641</v>
      </c>
      <c r="P21" s="96">
        <f>P22+P23+P24</f>
        <v>483.70000000000005</v>
      </c>
      <c r="Q21" s="104">
        <f>Q22+Q23+Q24</f>
        <v>345.29999999999995</v>
      </c>
      <c r="R21" s="104">
        <f>R22+R23+R24</f>
        <v>377</v>
      </c>
      <c r="S21" s="26"/>
    </row>
    <row r="22" spans="1:19" ht="18">
      <c r="A22" s="13" t="s">
        <v>16</v>
      </c>
      <c r="B22" s="13">
        <v>1060103003</v>
      </c>
      <c r="C22" s="98">
        <f>'Лен '!C21+Высокор!C21+Гост!C21+Новотр!C21+Черн!C21</f>
        <v>893</v>
      </c>
      <c r="D22" s="98">
        <f>'Лен '!D21+Высокор!D21+Гост!D21+Новотр!D21+Черн!D21</f>
        <v>0</v>
      </c>
      <c r="E22" s="102">
        <f>C22+D22</f>
        <v>893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61.4</v>
      </c>
      <c r="H22" s="100">
        <f>G22+M22</f>
        <v>41.49999999999999</v>
      </c>
      <c r="I22" s="101">
        <f>IF(E22&gt;0,H22/E22,0)</f>
        <v>0.04647256438969764</v>
      </c>
      <c r="J22" s="101">
        <f>IF(F22&gt;0,H22/F22,0)</f>
        <v>0</v>
      </c>
      <c r="K22" s="100">
        <f>'Лен '!K21+Высокор!K21+Гост!K21+Новотр!K21+Черн!K21</f>
        <v>189.5</v>
      </c>
      <c r="L22" s="101">
        <f>IF(K22&gt;0,H22/K22,0)</f>
        <v>0.2189973614775725</v>
      </c>
      <c r="M22" s="100">
        <f>'Лен '!M21+Высокор!M21+Гост!M21+Новотр!M21+Черн!M21</f>
        <v>-19.900000000000006</v>
      </c>
      <c r="N22" s="100">
        <f>'Лен '!N21+Высокор!N21+Гост!N21+Новотр!N21+Черн!N21</f>
        <v>35.4</v>
      </c>
      <c r="O22" s="101">
        <f>IF(N22&gt;0,M22/N22,0)</f>
        <v>-0.5621468926553674</v>
      </c>
      <c r="P22" s="100">
        <f>'Лен '!P21+Высокор!P21+Гост!P21+Новотр!P21+Черн!P21</f>
        <v>272.3</v>
      </c>
      <c r="Q22" s="100">
        <f>'Лен '!Q21+Высокор!Q21+Гост!Q21+Новотр!Q21+Черн!Q21</f>
        <v>177.29999999999998</v>
      </c>
      <c r="R22" s="100">
        <f>'Лен '!R21+Высокор!R21+Гост!R21+Новотр!R21+Черн!R21</f>
        <v>182.4</v>
      </c>
      <c r="S22" s="26"/>
    </row>
    <row r="23" spans="1:19" ht="18">
      <c r="A23" s="13" t="s">
        <v>19</v>
      </c>
      <c r="B23" s="13">
        <v>1060201002</v>
      </c>
      <c r="C23" s="98">
        <f>муниц!C20</f>
        <v>6350</v>
      </c>
      <c r="D23" s="98">
        <f>муниц!D20</f>
        <v>0</v>
      </c>
      <c r="E23" s="102">
        <f>C23+D23</f>
        <v>6350</v>
      </c>
      <c r="F23" s="98">
        <f>муниц!F20</f>
        <v>1983</v>
      </c>
      <c r="G23" s="98">
        <f>муниц!G20</f>
        <v>3373.8</v>
      </c>
      <c r="H23" s="100">
        <f>G23+M23</f>
        <v>3492</v>
      </c>
      <c r="I23" s="101">
        <f t="shared" si="1"/>
        <v>0.5499212598425197</v>
      </c>
      <c r="J23" s="101">
        <f t="shared" si="2"/>
        <v>1.7609682299546143</v>
      </c>
      <c r="K23" s="98">
        <f>муниц!K20</f>
        <v>3179.9</v>
      </c>
      <c r="L23" s="101">
        <f t="shared" si="3"/>
        <v>1.098147740494984</v>
      </c>
      <c r="M23" s="98">
        <f>муниц!M20</f>
        <v>118.2</v>
      </c>
      <c r="N23" s="98">
        <f>муниц!N20</f>
        <v>0</v>
      </c>
      <c r="O23" s="101">
        <f t="shared" si="4"/>
        <v>0</v>
      </c>
      <c r="P23" s="98">
        <f>муниц!P20</f>
        <v>0</v>
      </c>
      <c r="Q23" s="98">
        <f>муниц!Q20</f>
        <v>0.1</v>
      </c>
      <c r="R23" s="98">
        <f>муниц!R20</f>
        <v>0</v>
      </c>
      <c r="S23" s="26"/>
    </row>
    <row r="24" spans="1:19" ht="18">
      <c r="A24" s="13" t="s">
        <v>15</v>
      </c>
      <c r="B24" s="13">
        <v>1060600000</v>
      </c>
      <c r="C24" s="98">
        <f>'Лен '!C18+Высокор!C18+Гост!C18+Новотр!C18+Черн!C18</f>
        <v>1730</v>
      </c>
      <c r="D24" s="98">
        <f>'Лен '!D18+Высокор!D18+Гост!D18+Новотр!D18+Черн!D18</f>
        <v>0</v>
      </c>
      <c r="E24" s="99">
        <f>C24+D24</f>
        <v>1730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682.5999999999999</v>
      </c>
      <c r="H24" s="100">
        <f>G24+M24</f>
        <v>798.3999999999999</v>
      </c>
      <c r="I24" s="101">
        <f t="shared" si="1"/>
        <v>0.46150289017341034</v>
      </c>
      <c r="J24" s="101">
        <f t="shared" si="2"/>
        <v>0</v>
      </c>
      <c r="K24" s="100">
        <f>'Лен '!K18+Высокор!K18+Гост!K18+Новотр!K18+Черн!K18</f>
        <v>473</v>
      </c>
      <c r="L24" s="101">
        <f t="shared" si="3"/>
        <v>1.687949260042283</v>
      </c>
      <c r="M24" s="100">
        <f>'Лен '!M18+Высокор!M18+Гост!M18+Новотр!M18+Черн!M18</f>
        <v>115.80000000000001</v>
      </c>
      <c r="N24" s="100">
        <f>'Лен '!N18+Высокор!N18+Гост!N18+Новотр!N18+Черн!N18</f>
        <v>98.19999999999999</v>
      </c>
      <c r="O24" s="101">
        <f t="shared" si="4"/>
        <v>1.179226069246436</v>
      </c>
      <c r="P24" s="100">
        <f>'Лен '!P18+Высокор!P18+Гост!P18+Новотр!P18+Черн!P18</f>
        <v>211.4</v>
      </c>
      <c r="Q24" s="100">
        <f>'Лен '!Q18+Высокор!Q18+Гост!Q18+Новотр!Q18+Черн!Q18</f>
        <v>167.89999999999998</v>
      </c>
      <c r="R24" s="100">
        <f>'Лен '!R18+Высокор!R18+Гост!R18+Новотр!R18+Черн!R18</f>
        <v>194.60000000000002</v>
      </c>
      <c r="S24" s="26"/>
    </row>
    <row r="25" spans="1:19" ht="18">
      <c r="A25" s="9" t="s">
        <v>83</v>
      </c>
      <c r="B25" s="18">
        <v>1080000000</v>
      </c>
      <c r="C25" s="103">
        <f>муниц!C21+Высокор!C22+Гост!C22+Новотр!C22+Черн!C22</f>
        <v>724</v>
      </c>
      <c r="D25" s="103">
        <f>муниц!D21+Высокор!D22+Гост!D22+Новотр!D22+Черн!D22</f>
        <v>0</v>
      </c>
      <c r="E25" s="105">
        <f>C25+D25</f>
        <v>724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394.90000000000003</v>
      </c>
      <c r="H25" s="96">
        <f>G25+M25</f>
        <v>2207.4</v>
      </c>
      <c r="I25" s="97">
        <f t="shared" si="1"/>
        <v>3.0488950276243094</v>
      </c>
      <c r="J25" s="97">
        <f t="shared" si="2"/>
        <v>7.638062283737025</v>
      </c>
      <c r="K25" s="103">
        <f>муниц!K21+Высокор!K22+Гост!K22+Новотр!K22+Черн!K22</f>
        <v>301</v>
      </c>
      <c r="L25" s="97">
        <f t="shared" si="3"/>
        <v>7.333554817275748</v>
      </c>
      <c r="M25" s="103">
        <f>муниц!M21+Высокор!M22+Гост!M22+Новотр!M22+Черн!M22</f>
        <v>1812.5</v>
      </c>
      <c r="N25" s="103">
        <f>муниц!N21+Высокор!N22+Гост!N22+Новотр!N22+Черн!N22</f>
        <v>61.6</v>
      </c>
      <c r="O25" s="97">
        <f t="shared" si="4"/>
        <v>29.4237012987013</v>
      </c>
      <c r="P25" s="106"/>
      <c r="Q25" s="106"/>
      <c r="R25" s="106"/>
      <c r="S25" s="26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49179.145</v>
      </c>
      <c r="D27" s="108">
        <f t="shared" si="8"/>
        <v>11170.178000000002</v>
      </c>
      <c r="E27" s="108">
        <f t="shared" si="8"/>
        <v>60349.323000000004</v>
      </c>
      <c r="F27" s="108">
        <f t="shared" si="8"/>
        <v>7948.7</v>
      </c>
      <c r="G27" s="108">
        <f t="shared" si="8"/>
        <v>7730.3</v>
      </c>
      <c r="H27" s="108">
        <f t="shared" si="8"/>
        <v>9046.2</v>
      </c>
      <c r="I27" s="95">
        <f t="shared" si="1"/>
        <v>0.14989729047996114</v>
      </c>
      <c r="J27" s="95">
        <f t="shared" si="2"/>
        <v>1.1380728924226604</v>
      </c>
      <c r="K27" s="108">
        <f>K28+K34+K35+K39+K42+K43</f>
        <v>8136.3</v>
      </c>
      <c r="L27" s="95">
        <f t="shared" si="3"/>
        <v>1.1118321595811365</v>
      </c>
      <c r="M27" s="108">
        <f>M28+M34+M35+M39+M42+M43</f>
        <v>1315.9</v>
      </c>
      <c r="N27" s="108">
        <f>N28+N34+N35+N39+N42+N43</f>
        <v>1522.8</v>
      </c>
      <c r="O27" s="95">
        <f t="shared" si="4"/>
        <v>0.8641318623588128</v>
      </c>
      <c r="P27" s="108">
        <f>P28+P34+P35+P39+P42+P43</f>
        <v>604.1</v>
      </c>
      <c r="Q27" s="108">
        <f>Q28+Q34+Q35+Q39+Q42+Q43</f>
        <v>722.4</v>
      </c>
      <c r="R27" s="108">
        <f>R28+R34+R35+R39+R42+R43</f>
        <v>415.40000000000003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4123.5</v>
      </c>
      <c r="D28" s="103">
        <f t="shared" si="9"/>
        <v>71.6</v>
      </c>
      <c r="E28" s="103">
        <f t="shared" si="9"/>
        <v>4195.1</v>
      </c>
      <c r="F28" s="103">
        <f t="shared" si="9"/>
        <v>2087.3</v>
      </c>
      <c r="G28" s="103">
        <f t="shared" si="9"/>
        <v>2086</v>
      </c>
      <c r="H28" s="103">
        <f t="shared" si="9"/>
        <v>2697.1</v>
      </c>
      <c r="I28" s="97">
        <f t="shared" si="1"/>
        <v>0.6429167361922242</v>
      </c>
      <c r="J28" s="97">
        <f t="shared" si="2"/>
        <v>1.2921477506827</v>
      </c>
      <c r="K28" s="103">
        <f>SUM(K29:K33)</f>
        <v>2231.2999999999997</v>
      </c>
      <c r="L28" s="97">
        <f t="shared" si="3"/>
        <v>1.208757226728813</v>
      </c>
      <c r="M28" s="103">
        <f>SUM(M29:M33)</f>
        <v>611.1</v>
      </c>
      <c r="N28" s="103">
        <f>SUM(N29:N33)</f>
        <v>486.4</v>
      </c>
      <c r="O28" s="97">
        <f t="shared" si="4"/>
        <v>1.256373355263158</v>
      </c>
      <c r="P28" s="103">
        <f>SUM(P29:P33)</f>
        <v>604.1</v>
      </c>
      <c r="Q28" s="103">
        <f>SUM(Q29:Q33)</f>
        <v>722.4</v>
      </c>
      <c r="R28" s="103">
        <f>SUM(R29:R33)</f>
        <v>415.40000000000003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19" ht="18">
      <c r="A30" s="13" t="s">
        <v>1</v>
      </c>
      <c r="B30" s="13">
        <v>1110501013</v>
      </c>
      <c r="C30" s="98">
        <f>муниц!C26+муниц!C27+'Лен '!C25+'Лен '!C26</f>
        <v>2382</v>
      </c>
      <c r="D30" s="98">
        <f>муниц!D26+муниц!D27+'Лен '!D25+Высокор!D26+Гост!D26+Новотр!D26+Черн!D26+'Лен '!D26</f>
        <v>0</v>
      </c>
      <c r="E30" s="102">
        <f t="shared" si="10"/>
        <v>2382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</f>
        <v>1327.6000000000001</v>
      </c>
      <c r="H30" s="98">
        <f>муниц!H26+муниц!H27+'Лен '!H25+'Лен '!H26</f>
        <v>1492.3</v>
      </c>
      <c r="I30" s="101">
        <f t="shared" si="1"/>
        <v>0.6264903442485307</v>
      </c>
      <c r="J30" s="101">
        <f t="shared" si="2"/>
        <v>1.658111111111111</v>
      </c>
      <c r="K30" s="98">
        <f>муниц!K26+муниц!K27+'Лен '!K25+'Лен '!K26</f>
        <v>855.8999999999999</v>
      </c>
      <c r="L30" s="101">
        <f t="shared" si="3"/>
        <v>1.7435448066362895</v>
      </c>
      <c r="M30" s="98">
        <f>муниц!M26+муниц!M27+'Лен '!M25+'Лен '!M26</f>
        <v>164.70000000000002</v>
      </c>
      <c r="N30" s="98">
        <f>муниц!N26+муниц!N27+'Лен '!N25+'Лен '!N26</f>
        <v>206.5</v>
      </c>
      <c r="O30" s="101">
        <f t="shared" si="4"/>
        <v>0.7975786924939469</v>
      </c>
      <c r="P30" s="98">
        <f>муниц!P26+муниц!P27+'Лен '!P25+Высокор!P26+Гост!P26+Новотр!P26+Черн!P26</f>
        <v>443.1</v>
      </c>
      <c r="Q30" s="98">
        <f>муниц!Q26+муниц!Q27+'Лен '!Q25+Высокор!Q26+Гост!Q26+Новотр!Q26+Черн!Q26</f>
        <v>408.4</v>
      </c>
      <c r="R30" s="98">
        <f>муниц!R26+муниц!R27+'Лен '!R25+Высокор!R26+Гост!R26+Новотр!R26+Черн!R26</f>
        <v>406.70000000000005</v>
      </c>
      <c r="S30" s="26"/>
    </row>
    <row r="31" spans="1:19" ht="18">
      <c r="A31" s="13" t="s">
        <v>17</v>
      </c>
      <c r="B31" s="13">
        <v>1110503510</v>
      </c>
      <c r="C31" s="98">
        <f>муниц!C28</f>
        <v>600</v>
      </c>
      <c r="D31" s="98">
        <f>муниц!D28</f>
        <v>0</v>
      </c>
      <c r="E31" s="102">
        <f t="shared" si="10"/>
        <v>600</v>
      </c>
      <c r="F31" s="98">
        <f>муниц!F28</f>
        <v>1187.3</v>
      </c>
      <c r="G31" s="98">
        <f>муниц!G28</f>
        <v>237.3</v>
      </c>
      <c r="H31" s="100">
        <f t="shared" si="11"/>
        <v>284.5</v>
      </c>
      <c r="I31" s="101">
        <f t="shared" si="1"/>
        <v>0.4741666666666667</v>
      </c>
      <c r="J31" s="101">
        <f t="shared" si="2"/>
        <v>0.23961930430388276</v>
      </c>
      <c r="K31" s="98">
        <f>муниц!K28</f>
        <v>355</v>
      </c>
      <c r="L31" s="101">
        <f t="shared" si="3"/>
        <v>0.8014084507042254</v>
      </c>
      <c r="M31" s="98">
        <f>муниц!M28</f>
        <v>47.2</v>
      </c>
      <c r="N31" s="98">
        <f>муниц!N28</f>
        <v>66.2</v>
      </c>
      <c r="O31" s="101">
        <f t="shared" si="4"/>
        <v>0.7129909365558913</v>
      </c>
      <c r="P31" s="98">
        <f>муниц!P28+Новотр!P27</f>
        <v>161</v>
      </c>
      <c r="Q31" s="98">
        <f>муниц!Q28</f>
        <v>314</v>
      </c>
      <c r="R31" s="98">
        <f>муниц!R28</f>
        <v>0</v>
      </c>
      <c r="S31" s="26"/>
    </row>
    <row r="32" spans="1:19" ht="18">
      <c r="A32" s="13" t="s">
        <v>110</v>
      </c>
      <c r="B32" s="13">
        <v>1110507500</v>
      </c>
      <c r="C32" s="98">
        <f>'Лен '!C27+муниц!C29+Высокор!C26</f>
        <v>423.5</v>
      </c>
      <c r="D32" s="98">
        <f>'Лен '!D27+муниц!D29</f>
        <v>0</v>
      </c>
      <c r="E32" s="99">
        <f t="shared" si="10"/>
        <v>423.5</v>
      </c>
      <c r="F32" s="98">
        <f>'Лен '!F29+Гост!F27</f>
        <v>0</v>
      </c>
      <c r="G32" s="98">
        <f>'Лен '!G27+муниц!G29+Высокор!G26</f>
        <v>223.9</v>
      </c>
      <c r="H32" s="100">
        <f t="shared" si="11"/>
        <v>569.7</v>
      </c>
      <c r="I32" s="101">
        <f t="shared" si="1"/>
        <v>1.3452184179456907</v>
      </c>
      <c r="J32" s="101">
        <f t="shared" si="2"/>
        <v>0</v>
      </c>
      <c r="K32" s="98">
        <f>'Лен '!K27+муниц!K29</f>
        <v>693.3</v>
      </c>
      <c r="L32" s="101">
        <f t="shared" si="3"/>
        <v>0.8217221981826051</v>
      </c>
      <c r="M32" s="98">
        <f>'Лен '!M27+муниц!M29+Высокор!M26</f>
        <v>345.8</v>
      </c>
      <c r="N32" s="98">
        <f>'Лен '!N27+муниц!N29</f>
        <v>136.7</v>
      </c>
      <c r="O32" s="101">
        <f t="shared" si="4"/>
        <v>2.529626920263351</v>
      </c>
      <c r="P32" s="109"/>
      <c r="Q32" s="109"/>
      <c r="R32" s="109"/>
      <c r="S32" s="26"/>
    </row>
    <row r="33" spans="1:19" ht="18">
      <c r="A33" s="13" t="s">
        <v>23</v>
      </c>
      <c r="B33" s="13">
        <v>1110904505</v>
      </c>
      <c r="C33" s="98">
        <f>муниц!C30+'Лен '!C28+Высокор!C27+Гост!C28+Новотр!C27+Черн!C27</f>
        <v>718</v>
      </c>
      <c r="D33" s="98">
        <f>муниц!D30+'Лен '!D28+Высокор!D27+Гост!D28+Новотр!D27+Черн!D27</f>
        <v>71.6</v>
      </c>
      <c r="E33" s="119">
        <f t="shared" si="10"/>
        <v>789.6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297.2</v>
      </c>
      <c r="H33" s="100">
        <f t="shared" si="11"/>
        <v>350.6</v>
      </c>
      <c r="I33" s="101">
        <f t="shared" si="1"/>
        <v>0.4440222897669706</v>
      </c>
      <c r="J33" s="101">
        <f t="shared" si="2"/>
        <v>0</v>
      </c>
      <c r="K33" s="98">
        <f>муниц!K30+'Лен '!K28+Высокор!K27+Гост!K28+Новотр!K27+Черн!K27</f>
        <v>327.1</v>
      </c>
      <c r="L33" s="101">
        <f t="shared" si="3"/>
        <v>1.0718434729440538</v>
      </c>
      <c r="M33" s="98">
        <f>муниц!M30+'Лен '!M28+Высокор!M27+Гост!M28+Новотр!M27+Черн!M27</f>
        <v>53.400000000000006</v>
      </c>
      <c r="N33" s="98">
        <f>муниц!N30+'Лен '!N28+Высокор!N27+Гост!N28+Новотр!N27+Черн!N27</f>
        <v>77</v>
      </c>
      <c r="O33" s="101">
        <f t="shared" si="4"/>
        <v>0.6935064935064936</v>
      </c>
      <c r="P33" s="109">
        <f>'Лен '!P28</f>
        <v>0</v>
      </c>
      <c r="Q33" s="109"/>
      <c r="R33" s="109">
        <f>'Лен '!R28+Новотр!R27</f>
        <v>8.7</v>
      </c>
      <c r="S33" s="26"/>
    </row>
    <row r="34" spans="1:19" ht="18">
      <c r="A34" s="9" t="s">
        <v>81</v>
      </c>
      <c r="B34" s="18">
        <v>1120000000</v>
      </c>
      <c r="C34" s="103">
        <f>муниц!C31</f>
        <v>24.2</v>
      </c>
      <c r="D34" s="103">
        <f>муниц!D31</f>
        <v>0</v>
      </c>
      <c r="E34" s="105">
        <f t="shared" si="10"/>
        <v>24.2</v>
      </c>
      <c r="F34" s="103">
        <f>муниц!F31</f>
        <v>75</v>
      </c>
      <c r="G34" s="103">
        <f>муниц!G31</f>
        <v>36.4</v>
      </c>
      <c r="H34" s="96">
        <f t="shared" si="11"/>
        <v>36.4</v>
      </c>
      <c r="I34" s="97">
        <f t="shared" si="1"/>
        <v>1.5041322314049586</v>
      </c>
      <c r="J34" s="97">
        <f t="shared" si="2"/>
        <v>0.48533333333333334</v>
      </c>
      <c r="K34" s="103">
        <f>муниц!K31</f>
        <v>22.2</v>
      </c>
      <c r="L34" s="97">
        <f t="shared" si="3"/>
        <v>1.6396396396396395</v>
      </c>
      <c r="M34" s="103">
        <f>муниц!M31</f>
        <v>0</v>
      </c>
      <c r="N34" s="103">
        <f>муниц!N31</f>
        <v>0</v>
      </c>
      <c r="O34" s="97">
        <f t="shared" si="4"/>
        <v>0</v>
      </c>
      <c r="P34" s="96"/>
      <c r="Q34" s="106"/>
      <c r="R34" s="106"/>
      <c r="S34" s="26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9447</v>
      </c>
      <c r="D35" s="103">
        <f t="shared" si="12"/>
        <v>585.952</v>
      </c>
      <c r="E35" s="104">
        <f t="shared" si="12"/>
        <v>10032.952</v>
      </c>
      <c r="F35" s="103">
        <f t="shared" si="12"/>
        <v>5703.4</v>
      </c>
      <c r="G35" s="103">
        <f t="shared" si="12"/>
        <v>3451.9</v>
      </c>
      <c r="H35" s="103">
        <f t="shared" si="12"/>
        <v>3937.6000000000004</v>
      </c>
      <c r="I35" s="97">
        <f t="shared" si="1"/>
        <v>0.3924667435865337</v>
      </c>
      <c r="J35" s="97">
        <f t="shared" si="2"/>
        <v>0.6903952028614512</v>
      </c>
      <c r="K35" s="103">
        <f>SUM(K36:K38)</f>
        <v>4160</v>
      </c>
      <c r="L35" s="97">
        <f t="shared" si="3"/>
        <v>0.9465384615384617</v>
      </c>
      <c r="M35" s="103">
        <f>SUM(M36:M38)</f>
        <v>485.70000000000005</v>
      </c>
      <c r="N35" s="103">
        <f>SUM(N36:N38)</f>
        <v>705.5999999999999</v>
      </c>
      <c r="O35" s="97">
        <f t="shared" si="4"/>
        <v>0.6883503401360546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19" ht="18">
      <c r="A36" s="15" t="s">
        <v>34</v>
      </c>
      <c r="B36" s="22">
        <v>1130199500</v>
      </c>
      <c r="C36" s="110">
        <f>муниц!C33</f>
        <v>7890</v>
      </c>
      <c r="D36" s="110">
        <f>муниц!D33</f>
        <v>0</v>
      </c>
      <c r="E36" s="102">
        <f t="shared" si="10"/>
        <v>7890</v>
      </c>
      <c r="F36" s="110">
        <f>муниц!F33</f>
        <v>5203.4</v>
      </c>
      <c r="G36" s="110">
        <f>муниц!G33</f>
        <v>3026.3</v>
      </c>
      <c r="H36" s="100">
        <f>G36+M36</f>
        <v>3420.1000000000004</v>
      </c>
      <c r="I36" s="101">
        <f>IF(E36&gt;0,H36/E36,0)</f>
        <v>0.43347275031685684</v>
      </c>
      <c r="J36" s="101">
        <f>IF(F36&gt;0,H36/F36,0)</f>
        <v>0.6572817772994581</v>
      </c>
      <c r="K36" s="110">
        <f>муниц!K33</f>
        <v>3185.3</v>
      </c>
      <c r="L36" s="101">
        <f t="shared" si="3"/>
        <v>1.0737136219508367</v>
      </c>
      <c r="M36" s="110">
        <f>муниц!M33</f>
        <v>393.8</v>
      </c>
      <c r="N36" s="110">
        <f>муниц!N33</f>
        <v>432.2</v>
      </c>
      <c r="O36" s="101">
        <f t="shared" si="4"/>
        <v>0.9111522443313281</v>
      </c>
      <c r="P36" s="111"/>
      <c r="Q36" s="112"/>
      <c r="R36" s="112"/>
      <c r="S36" s="26"/>
    </row>
    <row r="37" spans="1:19" ht="18">
      <c r="A37" s="15" t="s">
        <v>35</v>
      </c>
      <c r="B37" s="22">
        <v>1130206500</v>
      </c>
      <c r="C37" s="110">
        <f>муниц!C34+'Лен '!C31</f>
        <v>507</v>
      </c>
      <c r="D37" s="110">
        <f>муниц!D34+'Лен '!D31</f>
        <v>0</v>
      </c>
      <c r="E37" s="119">
        <f t="shared" si="10"/>
        <v>507</v>
      </c>
      <c r="F37" s="110">
        <f>муниц!F34</f>
        <v>500</v>
      </c>
      <c r="G37" s="110">
        <f>муниц!G34+'Лен '!G31</f>
        <v>156.70000000000002</v>
      </c>
      <c r="H37" s="100">
        <f>G37+M37</f>
        <v>183.3</v>
      </c>
      <c r="I37" s="101">
        <f>IF(E37&gt;0,H37/E37,0)</f>
        <v>0.3615384615384616</v>
      </c>
      <c r="J37" s="101">
        <f>IF(F37&gt;0,H37/F37,0)</f>
        <v>0.36660000000000004</v>
      </c>
      <c r="K37" s="110">
        <f>муниц!K34+'Лен '!K31</f>
        <v>278.3</v>
      </c>
      <c r="L37" s="101">
        <f t="shared" si="3"/>
        <v>0.6586417535034136</v>
      </c>
      <c r="M37" s="110">
        <f>муниц!M34+'Лен '!M31</f>
        <v>26.599999999999998</v>
      </c>
      <c r="N37" s="110">
        <f>муниц!N34+'Лен '!N31</f>
        <v>69.1</v>
      </c>
      <c r="O37" s="101">
        <f t="shared" si="4"/>
        <v>0.3849493487698987</v>
      </c>
      <c r="P37" s="111"/>
      <c r="Q37" s="112"/>
      <c r="R37" s="112"/>
      <c r="S37" s="26"/>
    </row>
    <row r="38" spans="1:19" ht="18">
      <c r="A38" s="15" t="s">
        <v>38</v>
      </c>
      <c r="B38" s="22">
        <v>1130299510</v>
      </c>
      <c r="C38" s="110">
        <f>муниц!C35+'Лен '!C32+Высокор!C28+Гост!C29+Новотр!C28+Черн!C28</f>
        <v>1050</v>
      </c>
      <c r="D38" s="156">
        <f>муниц!D35+'Лен '!D32+Высокор!D28+Гост!D29+Новотр!D28+Черн!D28</f>
        <v>585.952</v>
      </c>
      <c r="E38" s="119">
        <f t="shared" si="10"/>
        <v>1635.952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268.9</v>
      </c>
      <c r="H38" s="100">
        <f>G38+M38</f>
        <v>334.2</v>
      </c>
      <c r="I38" s="101">
        <f>IF(E38&gt;0,H38/E38,0)</f>
        <v>0.20428472229014052</v>
      </c>
      <c r="J38" s="101">
        <f>IF(F38&gt;0,H38/F38,0)</f>
        <v>0</v>
      </c>
      <c r="K38" s="110">
        <f>муниц!K35+'Лен '!K32+Высокор!K28+Гост!K29+Новотр!K28+Черн!K28</f>
        <v>696.4</v>
      </c>
      <c r="L38" s="101">
        <f t="shared" si="3"/>
        <v>0.47989661114302123</v>
      </c>
      <c r="M38" s="110">
        <f>муниц!M35+'Лен '!M32+Высокор!M28+Гост!M29+Новотр!M28+Черн!M28</f>
        <v>65.3</v>
      </c>
      <c r="N38" s="110">
        <f>муниц!N35+'Лен '!N32+Высокор!N28+Гост!N29+Новотр!N28+Черн!N28</f>
        <v>204.29999999999998</v>
      </c>
      <c r="O38" s="101">
        <f t="shared" si="4"/>
        <v>0.31962799804209496</v>
      </c>
      <c r="P38" s="111"/>
      <c r="Q38" s="112"/>
      <c r="R38" s="112"/>
      <c r="S38" s="26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34920.065</v>
      </c>
      <c r="D39" s="103">
        <f t="shared" si="13"/>
        <v>9868.301000000001</v>
      </c>
      <c r="E39" s="103">
        <f t="shared" si="13"/>
        <v>44788.366</v>
      </c>
      <c r="F39" s="103">
        <f t="shared" si="13"/>
        <v>0</v>
      </c>
      <c r="G39" s="103">
        <f t="shared" si="13"/>
        <v>80.3</v>
      </c>
      <c r="H39" s="103">
        <f t="shared" si="13"/>
        <v>83.6</v>
      </c>
      <c r="I39" s="97">
        <f t="shared" si="1"/>
        <v>0.001866556149871598</v>
      </c>
      <c r="J39" s="97">
        <f t="shared" si="2"/>
        <v>0</v>
      </c>
      <c r="K39" s="103">
        <f>SUM(K40:K41)</f>
        <v>378.5</v>
      </c>
      <c r="L39" s="97">
        <f t="shared" si="3"/>
        <v>0.22087186261558783</v>
      </c>
      <c r="M39" s="103">
        <f>SUM(M40:M41)</f>
        <v>3.3</v>
      </c>
      <c r="N39" s="103">
        <f>SUM(N40:N41)</f>
        <v>0</v>
      </c>
      <c r="O39" s="97">
        <f t="shared" si="4"/>
        <v>0</v>
      </c>
      <c r="P39" s="106"/>
      <c r="Q39" s="106"/>
      <c r="R39" s="106"/>
      <c r="S39" s="26"/>
    </row>
    <row r="40" spans="1:19" ht="18">
      <c r="A40" s="13" t="s">
        <v>31</v>
      </c>
      <c r="B40" s="13">
        <v>1140205200</v>
      </c>
      <c r="C40" s="110">
        <f>муниц!C37+'Лен '!C34+Высокор!C29+Гост!C30+Новотр!C30+Черн!C29</f>
        <v>34385.065</v>
      </c>
      <c r="D40" s="110">
        <f>муниц!D37+'Лен '!D34+Высокор!D29+Гост!D30+Новотр!D30+Черн!D29</f>
        <v>10138.301000000001</v>
      </c>
      <c r="E40" s="102">
        <f t="shared" si="10"/>
        <v>44523.366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72.5</v>
      </c>
      <c r="H40" s="100">
        <f>G40+M40</f>
        <v>75.8</v>
      </c>
      <c r="I40" s="101">
        <f t="shared" si="1"/>
        <v>0.00170247685226674</v>
      </c>
      <c r="J40" s="101">
        <f t="shared" si="2"/>
        <v>0</v>
      </c>
      <c r="K40" s="110">
        <f>муниц!K37+'Лен '!K34+Высокор!K29+Гост!K30+Новотр!K30+Черн!K29</f>
        <v>171.3</v>
      </c>
      <c r="L40" s="101">
        <f t="shared" si="3"/>
        <v>0.4424985405720957</v>
      </c>
      <c r="M40" s="110">
        <f>муниц!M37+'Лен '!M34+Высокор!M29+Гост!M30+Новотр!M30+Черн!M29</f>
        <v>3.3</v>
      </c>
      <c r="N40" s="110">
        <f>муниц!N37+'Лен '!N34+Высокор!N29+Гост!N30+Новотр!N30+Черн!N29</f>
        <v>0</v>
      </c>
      <c r="O40" s="101">
        <f t="shared" si="4"/>
        <v>0</v>
      </c>
      <c r="P40" s="112"/>
      <c r="Q40" s="112"/>
      <c r="R40" s="112"/>
      <c r="S40" s="26"/>
    </row>
    <row r="41" spans="1:19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535</v>
      </c>
      <c r="D41" s="110">
        <f>муниц!D38+'Лен '!D35+Высокор!D30+Гост!D31+Новотр!D29+Черн!D30+'Лен '!D36</f>
        <v>-270</v>
      </c>
      <c r="E41" s="102">
        <f t="shared" si="10"/>
        <v>265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7.799999999999997</v>
      </c>
      <c r="H41" s="100">
        <f>G41+M41</f>
        <v>7.799999999999997</v>
      </c>
      <c r="I41" s="101">
        <f t="shared" si="1"/>
        <v>0.02943396226415093</v>
      </c>
      <c r="J41" s="101">
        <f t="shared" si="2"/>
        <v>0</v>
      </c>
      <c r="K41" s="110">
        <f>муниц!K38+'Лен '!K35+Высокор!K30+Гост!K31+Новотр!K29+Черн!K30+'Лен '!K36</f>
        <v>207.2</v>
      </c>
      <c r="L41" s="101">
        <f t="shared" si="3"/>
        <v>0.03764478764478763</v>
      </c>
      <c r="M41" s="110">
        <f>муниц!M38+'Лен '!M35+Высокор!M30+Гост!M31+Новотр!M29+Черн!M30+'Лен '!M36</f>
        <v>0</v>
      </c>
      <c r="N41" s="110">
        <f>муниц!N38+'Лен '!N35+Высокор!N30+Гост!N31+Новотр!N29+Черн!N30+'Лен '!N36</f>
        <v>0</v>
      </c>
      <c r="O41" s="101">
        <f t="shared" si="4"/>
        <v>0</v>
      </c>
      <c r="P41" s="112"/>
      <c r="Q41" s="112"/>
      <c r="R41" s="112"/>
      <c r="S41" s="26"/>
    </row>
    <row r="42" spans="1:19" ht="18">
      <c r="A42" s="9" t="s">
        <v>87</v>
      </c>
      <c r="B42" s="18">
        <v>1160000000</v>
      </c>
      <c r="C42" s="103">
        <f>муниц!C39+'Лен '!C37+Высокор!C31+Гост!C32+Новотр!C31+Черн!C31</f>
        <v>65.1</v>
      </c>
      <c r="D42" s="103">
        <f>муниц!D39+'Лен '!D37+Высокор!D31+Гост!D32+Новотр!D31+Черн!D31</f>
        <v>0</v>
      </c>
      <c r="E42" s="105">
        <f t="shared" si="10"/>
        <v>65.1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748.2</v>
      </c>
      <c r="H42" s="96">
        <f>G42+M42</f>
        <v>953.3000000000001</v>
      </c>
      <c r="I42" s="97">
        <f t="shared" si="1"/>
        <v>14.64362519201229</v>
      </c>
      <c r="J42" s="97">
        <f t="shared" si="2"/>
        <v>11.4855421686747</v>
      </c>
      <c r="K42" s="103">
        <f>муниц!K39+'Лен '!K37+Высокор!K31+Гост!K32+Новотр!K31+Черн!K31</f>
        <v>863</v>
      </c>
      <c r="L42" s="97">
        <f t="shared" si="3"/>
        <v>1.1046349942062572</v>
      </c>
      <c r="M42" s="103">
        <f>муниц!M39+'Лен '!M37+Высокор!M31+Гост!M32+Новотр!M31+Черн!M31</f>
        <v>205.1</v>
      </c>
      <c r="N42" s="103">
        <f>муниц!N39+'Лен '!N37+Высокор!N31+Гост!N32+Новотр!N31+Черн!N31</f>
        <v>330.1</v>
      </c>
      <c r="O42" s="97">
        <f t="shared" si="4"/>
        <v>0.6213268706452589</v>
      </c>
      <c r="P42" s="106"/>
      <c r="Q42" s="106"/>
      <c r="R42" s="106"/>
      <c r="S42" s="26"/>
    </row>
    <row r="43" spans="1:19" ht="18">
      <c r="A43" s="9" t="s">
        <v>88</v>
      </c>
      <c r="B43" s="18">
        <v>1170000000</v>
      </c>
      <c r="C43" s="103">
        <f aca="true" t="shared" si="14" ref="C43:H43">SUM(C44:C46)</f>
        <v>599.28</v>
      </c>
      <c r="D43" s="103">
        <f t="shared" si="14"/>
        <v>644.325</v>
      </c>
      <c r="E43" s="103">
        <f t="shared" si="14"/>
        <v>1243.605</v>
      </c>
      <c r="F43" s="103">
        <f t="shared" si="14"/>
        <v>0</v>
      </c>
      <c r="G43" s="103">
        <f t="shared" si="14"/>
        <v>1327.5</v>
      </c>
      <c r="H43" s="103">
        <f t="shared" si="14"/>
        <v>1338.2</v>
      </c>
      <c r="I43" s="97">
        <f t="shared" si="1"/>
        <v>1.0760651493038385</v>
      </c>
      <c r="J43" s="97">
        <f t="shared" si="2"/>
        <v>0</v>
      </c>
      <c r="K43" s="103">
        <f>SUM(K44:K46)</f>
        <v>481.3</v>
      </c>
      <c r="L43" s="97">
        <f t="shared" si="3"/>
        <v>2.7803864533554954</v>
      </c>
      <c r="M43" s="103">
        <f>SUM(M44:M46)</f>
        <v>10.7</v>
      </c>
      <c r="N43" s="103">
        <f>SUM(N44:N46)</f>
        <v>0.7</v>
      </c>
      <c r="O43" s="97">
        <f t="shared" si="4"/>
        <v>15.285714285714286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3.4</v>
      </c>
      <c r="H44" s="100">
        <f>G44+M44</f>
        <v>4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0.1</v>
      </c>
      <c r="L44" s="101">
        <f t="shared" si="3"/>
        <v>40</v>
      </c>
      <c r="M44" s="98">
        <f>муниц!M41+'Лен '!M39+Высокор!M33+Гост!M34+Новотр!M33+Черн!M33</f>
        <v>0.6</v>
      </c>
      <c r="N44" s="98">
        <f>муниц!N41+'Лен '!N39+Высокор!N33+Гост!N34+Новотр!N33+Черн!N33</f>
        <v>0</v>
      </c>
      <c r="O44" s="101">
        <f t="shared" si="4"/>
        <v>0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0</v>
      </c>
      <c r="E45" s="102">
        <f>C45+D45</f>
        <v>0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0.6000000000000001</v>
      </c>
      <c r="H45" s="100">
        <f>G45+M45</f>
        <v>0.7000000000000001</v>
      </c>
      <c r="I45" s="101">
        <f t="shared" si="1"/>
        <v>0</v>
      </c>
      <c r="J45" s="101">
        <f t="shared" si="2"/>
        <v>0</v>
      </c>
      <c r="K45" s="98">
        <f>муниц!K42+'Лен '!K40+Высокор!K34+Гост!K35+Новотр!K34+Черн!K34</f>
        <v>0.4</v>
      </c>
      <c r="L45" s="101">
        <f t="shared" si="3"/>
        <v>1.75</v>
      </c>
      <c r="M45" s="98">
        <f>муниц!M42+'Лен '!M40+Высокор!M34+Гост!M35+Новотр!M34+Черн!M34</f>
        <v>0.1</v>
      </c>
      <c r="N45" s="98">
        <f>муниц!N42+'Лен '!N40+Высокор!N34+Гост!N35+Новотр!N34+Черн!N34</f>
        <v>0</v>
      </c>
      <c r="O45" s="101">
        <f t="shared" si="4"/>
        <v>0</v>
      </c>
      <c r="P45" s="98"/>
      <c r="Q45" s="98"/>
      <c r="R45" s="98"/>
      <c r="S45" s="26"/>
    </row>
    <row r="46" spans="1:19" ht="18">
      <c r="A46" s="45" t="s">
        <v>119</v>
      </c>
      <c r="B46" s="180">
        <v>1171503005</v>
      </c>
      <c r="C46" s="98">
        <f>муниц!C43+'Лен '!C41</f>
        <v>599.28</v>
      </c>
      <c r="D46" s="98">
        <f>муниц!D43+'Лен '!D41</f>
        <v>644.325</v>
      </c>
      <c r="E46" s="102">
        <f>C46+D46</f>
        <v>1243.605</v>
      </c>
      <c r="F46" s="98"/>
      <c r="G46" s="98">
        <f>муниц!G43+'Лен '!G41</f>
        <v>1323.5</v>
      </c>
      <c r="H46" s="100">
        <f>G46+M46</f>
        <v>1333.5</v>
      </c>
      <c r="I46" s="101">
        <f t="shared" si="1"/>
        <v>1.072285814225578</v>
      </c>
      <c r="J46" s="101"/>
      <c r="K46" s="98">
        <f>муниц!K43+'Лен '!K41</f>
        <v>480.8</v>
      </c>
      <c r="L46" s="101">
        <f t="shared" si="3"/>
        <v>2.7735024958402663</v>
      </c>
      <c r="M46" s="98">
        <f>муниц!M43+'Лен '!M41</f>
        <v>10</v>
      </c>
      <c r="N46" s="98">
        <f>муниц!N43+'Лен '!N41</f>
        <v>0.7</v>
      </c>
      <c r="O46" s="101">
        <f t="shared" si="4"/>
        <v>14.285714285714286</v>
      </c>
      <c r="P46" s="98"/>
      <c r="Q46" s="98"/>
      <c r="R46" s="98"/>
      <c r="S46" s="26"/>
    </row>
    <row r="47" spans="1:19" ht="18">
      <c r="A47" s="16" t="s">
        <v>6</v>
      </c>
      <c r="B47" s="23">
        <v>1000000000</v>
      </c>
      <c r="C47" s="113">
        <f aca="true" t="shared" si="15" ref="C47:H47">C5+C27</f>
        <v>131255.245</v>
      </c>
      <c r="D47" s="113">
        <f t="shared" si="15"/>
        <v>11594.531</v>
      </c>
      <c r="E47" s="182">
        <f t="shared" si="15"/>
        <v>142849.776</v>
      </c>
      <c r="F47" s="115" t="e">
        <f t="shared" si="15"/>
        <v>#REF!</v>
      </c>
      <c r="G47" s="116">
        <f t="shared" si="15"/>
        <v>52749.20000000001</v>
      </c>
      <c r="H47" s="116">
        <f t="shared" si="15"/>
        <v>61181.59999999999</v>
      </c>
      <c r="I47" s="117">
        <f t="shared" si="1"/>
        <v>0.42829328622818413</v>
      </c>
      <c r="J47" s="117" t="e">
        <f t="shared" si="2"/>
        <v>#REF!</v>
      </c>
      <c r="K47" s="114">
        <f>K5+K27</f>
        <v>48569.600000000006</v>
      </c>
      <c r="L47" s="117">
        <f t="shared" si="3"/>
        <v>1.2596685992884435</v>
      </c>
      <c r="M47" s="116">
        <f>M5+M27</f>
        <v>8432.4</v>
      </c>
      <c r="N47" s="116">
        <f>N5+N27</f>
        <v>5785.100000000001</v>
      </c>
      <c r="O47" s="117">
        <f t="shared" si="4"/>
        <v>1.457606610084527</v>
      </c>
      <c r="P47" s="114">
        <f>P5+P27</f>
        <v>1276.9</v>
      </c>
      <c r="Q47" s="114">
        <f>Q5+Q27</f>
        <v>17192.4</v>
      </c>
      <c r="R47" s="114">
        <f>R5+R27</f>
        <v>1944.7000000000003</v>
      </c>
      <c r="S47" s="26"/>
    </row>
    <row r="48" spans="1:19" ht="18">
      <c r="A48" s="13" t="s">
        <v>36</v>
      </c>
      <c r="B48" s="21">
        <v>2000000000</v>
      </c>
      <c r="C48" s="118">
        <f>муниц!C46+1500+0.4+18240+510.3+4042.25</f>
        <v>372527.07</v>
      </c>
      <c r="D48" s="118">
        <f>муниц!D46+3000+1500</f>
        <v>42880.163</v>
      </c>
      <c r="E48" s="119">
        <f>C48+D48</f>
        <v>415407.233</v>
      </c>
      <c r="F48" s="100">
        <f>муниц!F46</f>
        <v>74695.19</v>
      </c>
      <c r="G48" s="100">
        <f>муниц!G46+91.6+693.6+44.9</f>
        <v>103065.90000000001</v>
      </c>
      <c r="H48" s="100">
        <f>G48+M48</f>
        <v>124714.80000000002</v>
      </c>
      <c r="I48" s="101">
        <f t="shared" si="1"/>
        <v>0.30022298624732907</v>
      </c>
      <c r="J48" s="101">
        <f t="shared" si="2"/>
        <v>1.669649678915068</v>
      </c>
      <c r="K48" s="100">
        <v>107330.7</v>
      </c>
      <c r="L48" s="101">
        <f t="shared" si="3"/>
        <v>1.1619676383364688</v>
      </c>
      <c r="M48" s="100">
        <f>муниц!M46+36.2</f>
        <v>21648.9</v>
      </c>
      <c r="N48" s="100">
        <v>23173.9</v>
      </c>
      <c r="O48" s="101">
        <f t="shared" si="4"/>
        <v>0.9341932087391419</v>
      </c>
      <c r="P48" s="109"/>
      <c r="Q48" s="109"/>
      <c r="R48" s="109"/>
      <c r="S48" s="26"/>
    </row>
    <row r="49" spans="1:19" ht="18.75">
      <c r="A49" s="8" t="s">
        <v>114</v>
      </c>
      <c r="B49" s="128" t="s">
        <v>102</v>
      </c>
      <c r="C49" s="118">
        <f>муниц!C47</f>
        <v>1045.22</v>
      </c>
      <c r="D49" s="118">
        <f>муниц!D47</f>
        <v>-45.22000000000003</v>
      </c>
      <c r="E49" s="102">
        <f>C49+D49</f>
        <v>1000</v>
      </c>
      <c r="F49" s="100"/>
      <c r="G49" s="100">
        <f>муниц!G47</f>
        <v>1000</v>
      </c>
      <c r="H49" s="100">
        <f>G49+M49</f>
        <v>1000</v>
      </c>
      <c r="I49" s="101">
        <f t="shared" si="1"/>
        <v>1</v>
      </c>
      <c r="J49" s="101"/>
      <c r="K49" s="100">
        <v>247</v>
      </c>
      <c r="L49" s="101"/>
      <c r="M49" s="100">
        <f>муниц!M47</f>
        <v>0</v>
      </c>
      <c r="N49" s="100">
        <v>50</v>
      </c>
      <c r="O49" s="101">
        <f t="shared" si="4"/>
        <v>0</v>
      </c>
      <c r="P49" s="109"/>
      <c r="Q49" s="109"/>
      <c r="R49" s="109"/>
      <c r="S49" s="26"/>
    </row>
    <row r="50" spans="1:19" ht="18">
      <c r="A50" s="13" t="s">
        <v>46</v>
      </c>
      <c r="B50" s="24" t="s">
        <v>39</v>
      </c>
      <c r="C50" s="98">
        <f>муниц!C48</f>
        <v>85.8</v>
      </c>
      <c r="D50" s="184">
        <f>муниц!D48+'Лен '!D45+Высокор!D38+Гост!D39+Новотр!D38+Черн!D38</f>
        <v>0</v>
      </c>
      <c r="E50" s="102">
        <f>C50+D50</f>
        <v>85.8</v>
      </c>
      <c r="F50" s="98">
        <f>муниц!F47+'Лен '!F45+Высокор!F38+Гост!F39+Новотр!F38+Черн!F38</f>
        <v>0</v>
      </c>
      <c r="G50" s="98">
        <f>муниц!G48</f>
        <v>12.6</v>
      </c>
      <c r="H50" s="100">
        <f>G50+M50</f>
        <v>15.3</v>
      </c>
      <c r="I50" s="101">
        <f>IF(E50&gt;0,H50/E50,0)</f>
        <v>0.17832167832167833</v>
      </c>
      <c r="J50" s="101">
        <f>IF(F50&gt;0,H50/F50,0)</f>
        <v>0</v>
      </c>
      <c r="K50" s="98">
        <v>785.3</v>
      </c>
      <c r="L50" s="101">
        <f t="shared" si="3"/>
        <v>0.01948300012733987</v>
      </c>
      <c r="M50" s="98">
        <f>муниц!M48+'Лен '!M45+Высокор!M38+Гост!M39+Новотр!M38+Черн!M38</f>
        <v>2.7</v>
      </c>
      <c r="N50" s="98">
        <v>750.5</v>
      </c>
      <c r="O50" s="101">
        <f t="shared" si="4"/>
        <v>0.003597601598934044</v>
      </c>
      <c r="P50" s="109"/>
      <c r="Q50" s="109"/>
      <c r="R50" s="109"/>
      <c r="S50" s="26"/>
    </row>
    <row r="51" spans="1:19" ht="21" customHeight="1">
      <c r="A51" s="8" t="s">
        <v>93</v>
      </c>
      <c r="B51" s="128" t="s">
        <v>94</v>
      </c>
      <c r="C51" s="98"/>
      <c r="D51" s="98">
        <f>муниц!D49</f>
        <v>-22.126</v>
      </c>
      <c r="E51" s="119">
        <f>C51+D51</f>
        <v>-22.126</v>
      </c>
      <c r="F51" s="98"/>
      <c r="G51" s="98">
        <f>муниц!G49</f>
        <v>-22.1</v>
      </c>
      <c r="H51" s="100">
        <f>G51+M51</f>
        <v>-22.1</v>
      </c>
      <c r="I51" s="101"/>
      <c r="J51" s="101"/>
      <c r="K51" s="98">
        <f>муниц!K49</f>
        <v>-2.7</v>
      </c>
      <c r="L51" s="101">
        <f t="shared" si="3"/>
        <v>0</v>
      </c>
      <c r="M51" s="98">
        <f>муниц!M49</f>
        <v>0</v>
      </c>
      <c r="N51" s="98">
        <v>-2.7</v>
      </c>
      <c r="O51" s="101"/>
      <c r="P51" s="109"/>
      <c r="Q51" s="109"/>
      <c r="R51" s="109"/>
      <c r="S51" s="26"/>
    </row>
    <row r="52" spans="1:19" ht="18">
      <c r="A52" s="16" t="s">
        <v>2</v>
      </c>
      <c r="B52" s="25"/>
      <c r="C52" s="116">
        <f aca="true" t="shared" si="16" ref="C52:H52">C47+C48+C49+C50+C51</f>
        <v>504913.33499999996</v>
      </c>
      <c r="D52" s="116">
        <f t="shared" si="16"/>
        <v>54407.348000000005</v>
      </c>
      <c r="E52" s="113">
        <f t="shared" si="16"/>
        <v>559320.6830000001</v>
      </c>
      <c r="F52" s="116" t="e">
        <f t="shared" si="16"/>
        <v>#REF!</v>
      </c>
      <c r="G52" s="116">
        <f t="shared" si="16"/>
        <v>156805.60000000003</v>
      </c>
      <c r="H52" s="116">
        <f t="shared" si="16"/>
        <v>186889.6</v>
      </c>
      <c r="I52" s="117">
        <f t="shared" si="1"/>
        <v>0.3341367585364262</v>
      </c>
      <c r="J52" s="117" t="e">
        <f t="shared" si="2"/>
        <v>#REF!</v>
      </c>
      <c r="K52" s="116">
        <f>K47+K48+K49+K50+K51</f>
        <v>156929.89999999997</v>
      </c>
      <c r="L52" s="117">
        <f t="shared" si="3"/>
        <v>1.190911355962121</v>
      </c>
      <c r="M52" s="116">
        <f>M47+M48+M49+M50+M51</f>
        <v>30084.000000000004</v>
      </c>
      <c r="N52" s="116">
        <f>N47+N48+N49+N50+N51</f>
        <v>29756.800000000003</v>
      </c>
      <c r="O52" s="117">
        <f t="shared" si="4"/>
        <v>1.0109958060006452</v>
      </c>
      <c r="P52" s="114">
        <f>P47+P48</f>
        <v>1276.9</v>
      </c>
      <c r="Q52" s="114">
        <f>Q47+Q48</f>
        <v>17192.4</v>
      </c>
      <c r="R52" s="114">
        <f>R47+R48</f>
        <v>1944.7000000000003</v>
      </c>
      <c r="S52" s="26"/>
    </row>
    <row r="53" spans="2:19" ht="15">
      <c r="B53" s="26"/>
      <c r="C53" s="26"/>
      <c r="D53" s="26"/>
      <c r="E53" s="26"/>
      <c r="F53" s="26"/>
      <c r="G53" s="26"/>
      <c r="H53" s="27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2022-07-06T06:17:05Z</cp:lastPrinted>
  <dcterms:created xsi:type="dcterms:W3CDTF">2003-11-05T12:49:21Z</dcterms:created>
  <dcterms:modified xsi:type="dcterms:W3CDTF">2022-07-25T10:49:55Z</dcterms:modified>
  <cp:category/>
  <cp:version/>
  <cp:contentType/>
  <cp:contentStatus/>
</cp:coreProperties>
</file>