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'консолид'!$A$1:$S$51</definedName>
    <definedName name="_xlnm.Print_Area" localSheetId="0">'муниц'!$A$1:$T$51</definedName>
    <definedName name="_xlnm.Print_Area" localSheetId="5">'Черн'!$A$1:$R$39</definedName>
  </definedNames>
  <calcPr fullCalcOnLoad="1"/>
</workbook>
</file>

<file path=xl/sharedStrings.xml><?xml version="1.0" encoding="utf-8"?>
<sst xmlns="http://schemas.openxmlformats.org/spreadsheetml/2006/main" count="449" uniqueCount="132">
  <si>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</si>
  <si>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</si>
  <si>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</si>
  <si>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</si>
  <si>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</si>
  <si>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</si>
  <si>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</si>
  <si>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</si>
  <si>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</si>
  <si>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</si>
  <si>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</si>
  <si>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</si>
  <si>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</si>
  <si>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</si>
  <si>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</si>
  <si>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</si>
  <si>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</si>
  <si>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</si>
  <si>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</si>
  <si>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</si>
  <si>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</si>
  <si>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</si>
  <si>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</si>
  <si>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</si>
  <si>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</si>
  <si>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</si>
  <si>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</si>
  <si>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</si>
  <si>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</si>
  <si>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</si>
  <si>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</si>
  <si>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</si>
  <si>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</si>
  <si>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</si>
  <si>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</si>
  <si>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</si>
  <si>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</si>
  <si>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</si>
  <si>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</si>
  <si>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</si>
  <si>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</si>
  <si>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</si>
  <si>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</si>
  <si>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</si>
  <si>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</si>
  <si>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</si>
  <si>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</si>
  <si>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</si>
  <si>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</si>
  <si>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</si>
  <si>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</si>
  <si>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</si>
  <si>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</si>
  <si>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</si>
  <si>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</si>
  <si>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</si>
  <si>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</si>
  <si>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</si>
  <si>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</si>
  <si>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</si>
  <si>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</si>
  <si>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</si>
  <si>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</si>
  <si>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</si>
  <si>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</si>
  <si>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</si>
  <si>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</si>
  <si>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</si>
  <si>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</si>
  <si>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</si>
  <si>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</si>
  <si>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</si>
  <si>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</si>
  <si>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</si>
  <si>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</si>
  <si>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</si>
  <si>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</si>
  <si>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</si>
  <si>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</si>
  <si>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</si>
  <si>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</si>
  <si>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</si>
  <si>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</si>
  <si>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</si>
  <si>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</si>
  <si>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</si>
  <si>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</si>
  <si>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</si>
  <si>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</si>
  <si>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</si>
  <si>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</si>
  <si>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</si>
  <si>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</si>
  <si>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</si>
  <si>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</si>
  <si>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</si>
  <si>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</si>
  <si>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</si>
  <si>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</si>
  <si>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</si>
  <si>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</si>
  <si>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</si>
  <si>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</si>
  <si>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</si>
  <si>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</si>
  <si>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</si>
  <si>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</si>
  <si>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</si>
  <si>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2196001005</t>
  </si>
  <si>
    <t>Доходы от сдачи в аренду им-ва в казне</t>
  </si>
  <si>
    <t>2186001013</t>
  </si>
  <si>
    <t>2020 год</t>
  </si>
  <si>
    <t>доходы от сдачи в аренду им-ва в казне</t>
  </si>
  <si>
    <t>Первоначальный план на 2021 год</t>
  </si>
  <si>
    <t>Уточненный план на 2021 год</t>
  </si>
  <si>
    <t>2021 год</t>
  </si>
  <si>
    <t>Безвоз. поступл. от негосуд. организ-й</t>
  </si>
  <si>
    <t>на 01.01.2021 года</t>
  </si>
  <si>
    <t>инициативные платежи</t>
  </si>
  <si>
    <t>Фактическое исполнение за январь-ноябрь</t>
  </si>
  <si>
    <t>на 01.12.2021 года</t>
  </si>
  <si>
    <t>Фактическое исполнение за январь-декабрь</t>
  </si>
  <si>
    <t>Поступило за декабрь  2021 года</t>
  </si>
  <si>
    <t>Поступило за декабрь   2020 года</t>
  </si>
  <si>
    <t>на 01.01.2022 года</t>
  </si>
  <si>
    <t>Сведения об исполнении бюджета муниципального района по состоянию на  01 января  2022 года</t>
  </si>
  <si>
    <t xml:space="preserve">об исполнении бюджета Ленинского городского поселения на 01 января  2022 г. </t>
  </si>
  <si>
    <t>об исполнении бюджета Высокораменского сельского поселения на 01 января   2022 г.</t>
  </si>
  <si>
    <t>об исполнении бюджета Гостовского сельского поселения на 01 января  2022г.</t>
  </si>
  <si>
    <t>об исполнении бюджета Новотроицкого сельского поселения на 01 января  2022 г.</t>
  </si>
  <si>
    <t>об исполнении бюджета Черновского сельского поселения на 01 января  2022 г.</t>
  </si>
  <si>
    <t xml:space="preserve">об исполнении бюджета муниципального  образования на  01  января  2022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</si>
</sst>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  <numFmt numFmtId="180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2" fontId="13" fillId="35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7" xfId="55" applyNumberFormat="1" applyFont="1" applyFill="1" applyBorder="1" applyAlignment="1">
      <alignment/>
    </xf>
    <xf numFmtId="172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73" fontId="5" fillId="0" borderId="14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 wrapText="1"/>
    </xf>
    <xf numFmtId="174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73" fontId="7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3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73" fontId="13" fillId="0" borderId="17" xfId="0" applyNumberFormat="1" applyFont="1" applyFill="1" applyBorder="1" applyAlignment="1">
      <alignment/>
    </xf>
    <xf numFmtId="180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174" fontId="5" fillId="36" borderId="12" xfId="0" applyNumberFormat="1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173" fontId="12" fillId="0" borderId="12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2" fontId="5" fillId="33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SheetLayoutView="5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M1"/>
    </sheetView>
  </sheetViews>
  <sheetFormatPr defaultColWidth="9.00390625" defaultRowHeight="12.75"/>
  <cols>
    <col min="1" max="1" width="44.875" style="0" customWidth="1"/>
    <col min="2" max="2" width="14.00390625" style="0" customWidth="1"/>
    <col min="3" max="3" width="16.00390625" style="0" customWidth="1"/>
    <col min="4" max="4" width="14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3.875" style="0" customWidth="1"/>
    <col min="10" max="10" width="10.875" style="0" hidden="1" customWidth="1"/>
    <col min="11" max="11" width="13.25390625" style="0" customWidth="1"/>
    <col min="12" max="12" width="13.00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1.875" style="0" customWidth="1"/>
    <col min="20" max="20" width="10.875" style="0" customWidth="1"/>
  </cols>
  <sheetData>
    <row r="1" spans="1:13" ht="24.75" customHeight="1">
      <c r="A1" s="184" t="s">
        <v>125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8" ht="20.25" customHeight="1">
      <c r="A2" s="183" t="s">
        <v>28</v>
      </c>
      <c r="B2" s="183" t="s">
        <v>4</v>
      </c>
      <c r="C2" s="183" t="s">
        <v>113</v>
      </c>
      <c r="D2" s="183" t="s">
        <v>24</v>
      </c>
      <c r="E2" s="183" t="s">
        <v>114</v>
      </c>
      <c r="F2" s="183" t="s">
        <v>98</v>
      </c>
      <c r="G2" s="183" t="s">
        <v>119</v>
      </c>
      <c r="H2" s="183" t="s">
        <v>115</v>
      </c>
      <c r="I2" s="183"/>
      <c r="J2" s="183"/>
      <c r="K2" s="183" t="s">
        <v>111</v>
      </c>
      <c r="L2" s="183"/>
      <c r="M2" s="183" t="s">
        <v>122</v>
      </c>
      <c r="N2" s="183" t="s">
        <v>123</v>
      </c>
      <c r="O2" s="183" t="s">
        <v>30</v>
      </c>
      <c r="P2" s="183" t="s">
        <v>9</v>
      </c>
      <c r="Q2" s="183"/>
      <c r="R2" s="183"/>
    </row>
    <row r="3" spans="1:18" ht="97.5" customHeight="1">
      <c r="A3" s="183"/>
      <c r="B3" s="183"/>
      <c r="C3" s="183"/>
      <c r="D3" s="183"/>
      <c r="E3" s="183"/>
      <c r="F3" s="183"/>
      <c r="G3" s="183"/>
      <c r="H3" s="46" t="s">
        <v>121</v>
      </c>
      <c r="I3" s="46" t="s">
        <v>10</v>
      </c>
      <c r="J3" s="46" t="s">
        <v>29</v>
      </c>
      <c r="K3" s="46" t="s">
        <v>121</v>
      </c>
      <c r="L3" s="46" t="s">
        <v>30</v>
      </c>
      <c r="M3" s="183"/>
      <c r="N3" s="183"/>
      <c r="O3" s="183"/>
      <c r="P3" s="121" t="s">
        <v>117</v>
      </c>
      <c r="Q3" s="121" t="s">
        <v>120</v>
      </c>
      <c r="R3" s="121" t="s">
        <v>124</v>
      </c>
    </row>
    <row r="4" spans="1:18" ht="18.75">
      <c r="A4" s="34" t="s">
        <v>21</v>
      </c>
      <c r="B4" s="35"/>
      <c r="C4" s="55">
        <f aca="true" t="shared" si="0" ref="C4:H4">C5+C9+C14+C20+C21+C22</f>
        <v>54350.7</v>
      </c>
      <c r="D4" s="55">
        <f t="shared" si="0"/>
        <v>14317.9</v>
      </c>
      <c r="E4" s="55">
        <f t="shared" si="0"/>
        <v>68668.6</v>
      </c>
      <c r="F4" s="55">
        <f t="shared" si="0"/>
        <v>28287.7</v>
      </c>
      <c r="G4" s="55">
        <f t="shared" si="0"/>
        <v>67615.79999999999</v>
      </c>
      <c r="H4" s="55">
        <f t="shared" si="0"/>
        <v>72486.2</v>
      </c>
      <c r="I4" s="56">
        <f>IF(E4&gt;0,H4/E4,0)</f>
        <v>1.0555945512213734</v>
      </c>
      <c r="J4" s="56">
        <f>IF(F4&gt;0,H4/F4,0)</f>
        <v>2.5624635442259356</v>
      </c>
      <c r="K4" s="55">
        <f>K5+K9+K14+K20+K21+K22</f>
        <v>58329.80000000001</v>
      </c>
      <c r="L4" s="56">
        <f aca="true" t="shared" si="1" ref="L4:L50">IF(K4&gt;0,H4/K4,0)</f>
        <v>1.242695843291079</v>
      </c>
      <c r="M4" s="55">
        <f>M5+M9+M14+M20+M21+M22</f>
        <v>4870.4</v>
      </c>
      <c r="N4" s="55">
        <f>N5+N9+N14+N20+N21+N22</f>
        <v>4670.2</v>
      </c>
      <c r="O4" s="56">
        <f aca="true" t="shared" si="2" ref="O4:O50">IF(N4&gt;0,M4/N4,0)</f>
        <v>1.0428675431459038</v>
      </c>
      <c r="P4" s="55">
        <f>P5+P9+P14+P20+P21+P22</f>
        <v>392.00000000000006</v>
      </c>
      <c r="Q4" s="55">
        <f>Q5+Q9+Q14+Q20+Q21+Q22</f>
        <v>183</v>
      </c>
      <c r="R4" s="55">
        <f>R5+R9+R14+R20+R21+R22</f>
        <v>177.20000000000002</v>
      </c>
    </row>
    <row r="5" spans="1:18" ht="18.75">
      <c r="A5" s="36" t="s">
        <v>62</v>
      </c>
      <c r="B5" s="37">
        <v>1010200001</v>
      </c>
      <c r="C5" s="57">
        <f aca="true" t="shared" si="3" ref="C5:H5">SUM(C6:C8)</f>
        <v>14503.699999999999</v>
      </c>
      <c r="D5" s="57">
        <f t="shared" si="3"/>
        <v>107.9</v>
      </c>
      <c r="E5" s="57">
        <f t="shared" si="3"/>
        <v>14611.599999999999</v>
      </c>
      <c r="F5" s="57">
        <f t="shared" si="3"/>
        <v>9897.800000000001</v>
      </c>
      <c r="G5" s="57">
        <f t="shared" si="3"/>
        <v>13896.300000000001</v>
      </c>
      <c r="H5" s="57">
        <f t="shared" si="3"/>
        <v>15956</v>
      </c>
      <c r="I5" s="58">
        <f>IF(E5&gt;0,H5/E5,0)</f>
        <v>1.0920090886692766</v>
      </c>
      <c r="J5" s="58">
        <f>IF(F5&gt;0,H5/F5,0)</f>
        <v>1.6120754106973265</v>
      </c>
      <c r="K5" s="57">
        <f>SUM(K6:K8)</f>
        <v>14626.000000000002</v>
      </c>
      <c r="L5" s="58">
        <f t="shared" si="1"/>
        <v>1.0909339532339668</v>
      </c>
      <c r="M5" s="57">
        <f>SUM(M6:M8)</f>
        <v>2059.7</v>
      </c>
      <c r="N5" s="57">
        <f>SUM(N6:N8)</f>
        <v>1959.1000000000001</v>
      </c>
      <c r="O5" s="58">
        <f t="shared" si="2"/>
        <v>1.0513501097442701</v>
      </c>
      <c r="P5" s="57">
        <f>SUM(P6:P8)</f>
        <v>37.5</v>
      </c>
      <c r="Q5" s="57">
        <f>SUM(Q6:Q8)</f>
        <v>25.9</v>
      </c>
      <c r="R5" s="57">
        <f>SUM(R6:R8)</f>
        <v>26.8</v>
      </c>
    </row>
    <row r="6" spans="1:19" ht="18.75" customHeight="1">
      <c r="A6" s="39" t="s">
        <v>39</v>
      </c>
      <c r="B6" s="8">
        <v>1010201001</v>
      </c>
      <c r="C6" s="59">
        <v>14419.4</v>
      </c>
      <c r="D6" s="60">
        <v>107.9</v>
      </c>
      <c r="E6" s="60">
        <f>C6+D6</f>
        <v>14527.3</v>
      </c>
      <c r="F6" s="60">
        <f>2700+346+3300+3328.7+150</f>
        <v>9824.7</v>
      </c>
      <c r="G6" s="60">
        <v>13767.7</v>
      </c>
      <c r="H6" s="60">
        <f>G6+M6</f>
        <v>15804</v>
      </c>
      <c r="I6" s="61">
        <f aca="true" t="shared" si="4" ref="I6:I50">IF(E6&gt;0,H6/E6,0)</f>
        <v>1.0878828137368954</v>
      </c>
      <c r="J6" s="61">
        <f aca="true" t="shared" si="5" ref="J6:J50">IF(F6&gt;0,H6/F6,0)</f>
        <v>1.6085987358392622</v>
      </c>
      <c r="K6" s="60">
        <v>14515.2</v>
      </c>
      <c r="L6" s="61">
        <f t="shared" si="1"/>
        <v>1.0887896825396826</v>
      </c>
      <c r="M6" s="60">
        <v>2036.3</v>
      </c>
      <c r="N6" s="60">
        <v>1955.4</v>
      </c>
      <c r="O6" s="61">
        <f t="shared" si="2"/>
        <v>1.0413726091848214</v>
      </c>
      <c r="P6" s="60">
        <v>20.3</v>
      </c>
      <c r="Q6" s="60">
        <v>21.9</v>
      </c>
      <c r="R6" s="60">
        <v>21.3</v>
      </c>
      <c r="S6" s="25"/>
    </row>
    <row r="7" spans="1:19" ht="21" customHeight="1">
      <c r="A7" s="39" t="s">
        <v>40</v>
      </c>
      <c r="B7" s="8">
        <v>1010202001</v>
      </c>
      <c r="C7" s="59">
        <v>36</v>
      </c>
      <c r="D7" s="60"/>
      <c r="E7" s="60">
        <f aca="true" t="shared" si="6" ref="E7:E22">C7+D7</f>
        <v>36</v>
      </c>
      <c r="F7" s="60">
        <f>26.1</f>
        <v>26.1</v>
      </c>
      <c r="G7" s="60">
        <v>43</v>
      </c>
      <c r="H7" s="60">
        <f>G7+M7</f>
        <v>43</v>
      </c>
      <c r="I7" s="61">
        <f t="shared" si="4"/>
        <v>1.1944444444444444</v>
      </c>
      <c r="J7" s="61">
        <f t="shared" si="5"/>
        <v>1.6475095785440612</v>
      </c>
      <c r="K7" s="60">
        <v>41.7</v>
      </c>
      <c r="L7" s="61">
        <f t="shared" si="1"/>
        <v>1.0311750599520384</v>
      </c>
      <c r="M7" s="60"/>
      <c r="N7" s="60"/>
      <c r="O7" s="61">
        <f t="shared" si="2"/>
        <v>0</v>
      </c>
      <c r="P7" s="60"/>
      <c r="Q7" s="60"/>
      <c r="R7" s="60"/>
      <c r="S7" s="25"/>
    </row>
    <row r="8" spans="1:19" ht="21" customHeight="1">
      <c r="A8" s="39" t="s">
        <v>41</v>
      </c>
      <c r="B8" s="8">
        <v>1010203001</v>
      </c>
      <c r="C8" s="59">
        <v>48.3</v>
      </c>
      <c r="D8" s="60"/>
      <c r="E8" s="60">
        <f t="shared" si="6"/>
        <v>48.3</v>
      </c>
      <c r="F8" s="60">
        <f>2+45</f>
        <v>47</v>
      </c>
      <c r="G8" s="60">
        <v>85.6</v>
      </c>
      <c r="H8" s="60">
        <f>G8+M8</f>
        <v>109</v>
      </c>
      <c r="I8" s="61">
        <f t="shared" si="4"/>
        <v>2.256728778467909</v>
      </c>
      <c r="J8" s="61">
        <f t="shared" si="5"/>
        <v>2.3191489361702127</v>
      </c>
      <c r="K8" s="60">
        <v>69.1</v>
      </c>
      <c r="L8" s="61">
        <f t="shared" si="1"/>
        <v>1.5774240231548482</v>
      </c>
      <c r="M8" s="60">
        <v>23.4</v>
      </c>
      <c r="N8" s="60">
        <v>3.7</v>
      </c>
      <c r="O8" s="61">
        <f t="shared" si="2"/>
        <v>6.324324324324324</v>
      </c>
      <c r="P8" s="60">
        <v>17.2</v>
      </c>
      <c r="Q8" s="60">
        <v>4</v>
      </c>
      <c r="R8" s="60">
        <v>5.5</v>
      </c>
      <c r="S8" s="25"/>
    </row>
    <row r="9" spans="1:19" ht="18" customHeight="1">
      <c r="A9" s="36" t="s">
        <v>47</v>
      </c>
      <c r="B9" s="38">
        <v>1030200001</v>
      </c>
      <c r="C9" s="57">
        <f aca="true" t="shared" si="7" ref="C9:H9">SUM(C10:C13)</f>
        <v>8336</v>
      </c>
      <c r="D9" s="57">
        <f t="shared" si="7"/>
        <v>0</v>
      </c>
      <c r="E9" s="57">
        <f t="shared" si="7"/>
        <v>8336</v>
      </c>
      <c r="F9" s="57">
        <f>925+200+490+1350+1800</f>
        <v>4765</v>
      </c>
      <c r="G9" s="57">
        <f>SUM(G10:G13)</f>
        <v>7741.999999999999</v>
      </c>
      <c r="H9" s="57">
        <f t="shared" si="7"/>
        <v>8496.199999999999</v>
      </c>
      <c r="I9" s="58">
        <f t="shared" si="4"/>
        <v>1.0192178502879077</v>
      </c>
      <c r="J9" s="58">
        <f t="shared" si="5"/>
        <v>1.7830430220356766</v>
      </c>
      <c r="K9" s="57">
        <f>SUM(K10:K13)</f>
        <v>7402.200000000001</v>
      </c>
      <c r="L9" s="58">
        <f t="shared" si="1"/>
        <v>1.1477938991110748</v>
      </c>
      <c r="M9" s="57">
        <f>SUM(M10:M13)</f>
        <v>754.1999999999999</v>
      </c>
      <c r="N9" s="57">
        <f>SUM(N10:N13)</f>
        <v>603.8</v>
      </c>
      <c r="O9" s="58">
        <f t="shared" si="2"/>
        <v>1.249089102351772</v>
      </c>
      <c r="P9" s="57">
        <f>SUM(P10:P13)</f>
        <v>0</v>
      </c>
      <c r="Q9" s="57">
        <f>SUM(Q10:Q13)</f>
        <v>0</v>
      </c>
      <c r="R9" s="57">
        <f>SUM(R10:R13)</f>
        <v>0</v>
      </c>
      <c r="S9" s="25"/>
    </row>
    <row r="10" spans="1:19" ht="18.75">
      <c r="A10" s="40" t="s">
        <v>48</v>
      </c>
      <c r="B10" s="40">
        <v>1030223101</v>
      </c>
      <c r="C10" s="59">
        <v>3827.6</v>
      </c>
      <c r="D10" s="60"/>
      <c r="E10" s="60">
        <f t="shared" si="6"/>
        <v>3827.6</v>
      </c>
      <c r="F10" s="60"/>
      <c r="G10" s="60">
        <v>3548.6</v>
      </c>
      <c r="H10" s="60">
        <f>G10+M10</f>
        <v>3922.4</v>
      </c>
      <c r="I10" s="61">
        <f t="shared" si="4"/>
        <v>1.0247674783153935</v>
      </c>
      <c r="J10" s="61">
        <f t="shared" si="5"/>
        <v>0</v>
      </c>
      <c r="K10" s="60">
        <v>3414.2</v>
      </c>
      <c r="L10" s="61">
        <f t="shared" si="1"/>
        <v>1.148848925077617</v>
      </c>
      <c r="M10" s="60">
        <v>373.8</v>
      </c>
      <c r="N10" s="60">
        <v>282.3</v>
      </c>
      <c r="O10" s="61">
        <f t="shared" si="2"/>
        <v>1.3241232731137087</v>
      </c>
      <c r="P10" s="60"/>
      <c r="Q10" s="60"/>
      <c r="R10" s="60"/>
      <c r="S10" s="25"/>
    </row>
    <row r="11" spans="1:19" ht="18.75">
      <c r="A11" s="40" t="s">
        <v>49</v>
      </c>
      <c r="B11" s="40">
        <v>1030224101</v>
      </c>
      <c r="C11" s="59">
        <v>21.8</v>
      </c>
      <c r="D11" s="60"/>
      <c r="E11" s="60">
        <f t="shared" si="6"/>
        <v>21.8</v>
      </c>
      <c r="F11" s="60"/>
      <c r="G11" s="60">
        <v>25.2</v>
      </c>
      <c r="H11" s="60">
        <f>G11+M11</f>
        <v>27.599999999999998</v>
      </c>
      <c r="I11" s="61">
        <f t="shared" si="4"/>
        <v>1.2660550458715596</v>
      </c>
      <c r="J11" s="61">
        <f t="shared" si="5"/>
        <v>0</v>
      </c>
      <c r="K11" s="60">
        <v>24.4</v>
      </c>
      <c r="L11" s="61">
        <f t="shared" si="1"/>
        <v>1.1311475409836065</v>
      </c>
      <c r="M11" s="60">
        <v>2.4</v>
      </c>
      <c r="N11" s="60">
        <v>1.9</v>
      </c>
      <c r="O11" s="61">
        <f t="shared" si="2"/>
        <v>1.263157894736842</v>
      </c>
      <c r="P11" s="60"/>
      <c r="Q11" s="60"/>
      <c r="R11" s="60"/>
      <c r="S11" s="25"/>
    </row>
    <row r="12" spans="1:19" ht="18.75" customHeight="1">
      <c r="A12" s="40" t="s">
        <v>50</v>
      </c>
      <c r="B12" s="40">
        <v>1030225101</v>
      </c>
      <c r="C12" s="59">
        <v>5035</v>
      </c>
      <c r="D12" s="60"/>
      <c r="E12" s="60">
        <f t="shared" si="6"/>
        <v>5035</v>
      </c>
      <c r="F12" s="60"/>
      <c r="G12" s="60">
        <v>4769.4</v>
      </c>
      <c r="H12" s="60">
        <f>G12+M12</f>
        <v>5215.099999999999</v>
      </c>
      <c r="I12" s="61">
        <f t="shared" si="4"/>
        <v>1.0357696127110227</v>
      </c>
      <c r="J12" s="61">
        <f t="shared" si="5"/>
        <v>0</v>
      </c>
      <c r="K12" s="60">
        <v>4593</v>
      </c>
      <c r="L12" s="61">
        <f t="shared" si="1"/>
        <v>1.1354452427607227</v>
      </c>
      <c r="M12" s="60">
        <v>445.7</v>
      </c>
      <c r="N12" s="60">
        <v>384.9</v>
      </c>
      <c r="O12" s="61">
        <f t="shared" si="2"/>
        <v>1.1579631073005976</v>
      </c>
      <c r="P12" s="60"/>
      <c r="Q12" s="60"/>
      <c r="R12" s="60"/>
      <c r="S12" s="25"/>
    </row>
    <row r="13" spans="1:19" ht="18.75" customHeight="1">
      <c r="A13" s="40" t="s">
        <v>51</v>
      </c>
      <c r="B13" s="40">
        <v>1030226101</v>
      </c>
      <c r="C13" s="59">
        <v>-548.4</v>
      </c>
      <c r="D13" s="60"/>
      <c r="E13" s="60">
        <f t="shared" si="6"/>
        <v>-548.4</v>
      </c>
      <c r="F13" s="60"/>
      <c r="G13" s="60">
        <v>-601.2</v>
      </c>
      <c r="H13" s="60">
        <f>G13+M13</f>
        <v>-668.9000000000001</v>
      </c>
      <c r="I13" s="61">
        <f>H13/E13</f>
        <v>1.2197301239970826</v>
      </c>
      <c r="J13" s="61">
        <f t="shared" si="5"/>
        <v>0</v>
      </c>
      <c r="K13" s="60">
        <v>-629.4</v>
      </c>
      <c r="L13" s="61">
        <f t="shared" si="1"/>
        <v>0</v>
      </c>
      <c r="M13" s="60">
        <v>-67.7</v>
      </c>
      <c r="N13" s="60">
        <v>-65.3</v>
      </c>
      <c r="O13" s="61">
        <f t="shared" si="2"/>
        <v>0</v>
      </c>
      <c r="P13" s="60"/>
      <c r="Q13" s="60"/>
      <c r="R13" s="60"/>
      <c r="S13" s="25"/>
    </row>
    <row r="14" spans="1:19" ht="18.75">
      <c r="A14" s="36" t="s">
        <v>54</v>
      </c>
      <c r="B14" s="37">
        <v>1050000000</v>
      </c>
      <c r="C14" s="57">
        <f aca="true" t="shared" si="8" ref="C14:H14">SUM(C15:C19)</f>
        <v>25511</v>
      </c>
      <c r="D14" s="57">
        <f t="shared" si="8"/>
        <v>13410</v>
      </c>
      <c r="E14" s="57">
        <f t="shared" si="8"/>
        <v>38921</v>
      </c>
      <c r="F14" s="57">
        <f t="shared" si="8"/>
        <v>11352.9</v>
      </c>
      <c r="G14" s="57">
        <f>G15+G16+G17+G18+G19</f>
        <v>39047.399999999994</v>
      </c>
      <c r="H14" s="57">
        <f t="shared" si="8"/>
        <v>41066.8</v>
      </c>
      <c r="I14" s="58">
        <f t="shared" si="4"/>
        <v>1.0551321908481284</v>
      </c>
      <c r="J14" s="58">
        <f t="shared" si="5"/>
        <v>3.6172960212809064</v>
      </c>
      <c r="K14" s="57">
        <f>K15+K16+K17+K18+K19</f>
        <v>29859.800000000003</v>
      </c>
      <c r="L14" s="58">
        <f t="shared" si="1"/>
        <v>1.375320665242232</v>
      </c>
      <c r="M14" s="57">
        <f>M15+M16+M17+M18+M19</f>
        <v>2019.4</v>
      </c>
      <c r="N14" s="57">
        <f>SUM(N15:N19)</f>
        <v>2041.9</v>
      </c>
      <c r="O14" s="58">
        <f t="shared" si="2"/>
        <v>0.9889808511680298</v>
      </c>
      <c r="P14" s="57">
        <f>SUM(P15:P19)</f>
        <v>354.50000000000006</v>
      </c>
      <c r="Q14" s="57">
        <f>SUM(Q15:Q19)</f>
        <v>157.1</v>
      </c>
      <c r="R14" s="57">
        <f>SUM(R15:R19)</f>
        <v>150.4</v>
      </c>
      <c r="S14" s="25"/>
    </row>
    <row r="15" spans="1:19" ht="18.75">
      <c r="A15" s="39" t="s">
        <v>52</v>
      </c>
      <c r="B15" s="8">
        <v>1050101001</v>
      </c>
      <c r="C15" s="59">
        <v>21000</v>
      </c>
      <c r="D15" s="60">
        <f>8000+1900</f>
        <v>9900</v>
      </c>
      <c r="E15" s="60">
        <f t="shared" si="6"/>
        <v>30900</v>
      </c>
      <c r="F15" s="60">
        <f>1100+1131+3100+350+1370</f>
        <v>7051</v>
      </c>
      <c r="G15" s="60">
        <v>30563.6</v>
      </c>
      <c r="H15" s="60">
        <f aca="true" t="shared" si="9" ref="H15:H22">G15+M15</f>
        <v>32060.3</v>
      </c>
      <c r="I15" s="61">
        <f t="shared" si="4"/>
        <v>1.0375501618122978</v>
      </c>
      <c r="J15" s="61">
        <f t="shared" si="5"/>
        <v>4.546915331158701</v>
      </c>
      <c r="K15" s="60">
        <v>19974</v>
      </c>
      <c r="L15" s="61">
        <f t="shared" si="1"/>
        <v>1.6051016321217582</v>
      </c>
      <c r="M15" s="60">
        <v>1496.7</v>
      </c>
      <c r="N15" s="60">
        <v>1861.1</v>
      </c>
      <c r="O15" s="61">
        <f t="shared" si="2"/>
        <v>0.8042018161302457</v>
      </c>
      <c r="P15" s="60">
        <f>234.8+91.9</f>
        <v>326.70000000000005</v>
      </c>
      <c r="Q15" s="60">
        <v>142.6</v>
      </c>
      <c r="R15" s="60">
        <v>146</v>
      </c>
      <c r="S15" s="25"/>
    </row>
    <row r="16" spans="1:21" ht="18.75">
      <c r="A16" s="39" t="s">
        <v>53</v>
      </c>
      <c r="B16" s="8">
        <v>1050102001</v>
      </c>
      <c r="C16" s="59">
        <v>2800</v>
      </c>
      <c r="D16" s="60">
        <f>2700</f>
        <v>2700</v>
      </c>
      <c r="E16" s="60">
        <f t="shared" si="6"/>
        <v>5500</v>
      </c>
      <c r="F16" s="60">
        <f>100+159+500+350+400</f>
        <v>1509</v>
      </c>
      <c r="G16" s="60">
        <v>5886</v>
      </c>
      <c r="H16" s="60">
        <f t="shared" si="9"/>
        <v>6140.6</v>
      </c>
      <c r="I16" s="61">
        <f t="shared" si="4"/>
        <v>1.1164727272727273</v>
      </c>
      <c r="J16" s="61">
        <f t="shared" si="5"/>
        <v>4.069317428760769</v>
      </c>
      <c r="K16" s="60">
        <v>4180</v>
      </c>
      <c r="L16" s="61">
        <f t="shared" si="1"/>
        <v>1.469043062200957</v>
      </c>
      <c r="M16" s="60">
        <v>254.6</v>
      </c>
      <c r="N16" s="60">
        <v>44</v>
      </c>
      <c r="O16" s="61">
        <f t="shared" si="2"/>
        <v>5.786363636363636</v>
      </c>
      <c r="P16" s="60"/>
      <c r="Q16" s="60">
        <v>2.3</v>
      </c>
      <c r="R16" s="60">
        <v>2.3</v>
      </c>
      <c r="S16" s="25"/>
      <c r="U16" s="160"/>
    </row>
    <row r="17" spans="1:19" ht="18.75">
      <c r="A17" s="39" t="s">
        <v>0</v>
      </c>
      <c r="B17" s="8">
        <v>1050200002</v>
      </c>
      <c r="C17" s="59">
        <v>581</v>
      </c>
      <c r="D17" s="60">
        <f>735</f>
        <v>735</v>
      </c>
      <c r="E17" s="60">
        <f t="shared" si="6"/>
        <v>1316</v>
      </c>
      <c r="F17" s="60">
        <f>1000+126+65+1480-30</f>
        <v>2641</v>
      </c>
      <c r="G17" s="60">
        <v>1342.1</v>
      </c>
      <c r="H17" s="60">
        <f t="shared" si="9"/>
        <v>1349.3</v>
      </c>
      <c r="I17" s="61">
        <f t="shared" si="4"/>
        <v>1.025303951367781</v>
      </c>
      <c r="J17" s="61">
        <f t="shared" si="5"/>
        <v>0.5109049602423325</v>
      </c>
      <c r="K17" s="60">
        <v>4596.9</v>
      </c>
      <c r="L17" s="61">
        <f t="shared" si="1"/>
        <v>0.29352389653897193</v>
      </c>
      <c r="M17" s="60">
        <v>7.2</v>
      </c>
      <c r="N17" s="60">
        <v>48.9</v>
      </c>
      <c r="O17" s="61">
        <f t="shared" si="2"/>
        <v>0.147239263803681</v>
      </c>
      <c r="P17" s="60">
        <v>27.8</v>
      </c>
      <c r="Q17" s="60">
        <v>11.1</v>
      </c>
      <c r="R17" s="60">
        <v>2.1</v>
      </c>
      <c r="S17" s="25"/>
    </row>
    <row r="18" spans="1:19" ht="18.75">
      <c r="A18" s="39" t="s">
        <v>7</v>
      </c>
      <c r="B18" s="8">
        <v>1050300001</v>
      </c>
      <c r="C18" s="59">
        <v>630</v>
      </c>
      <c r="D18" s="60">
        <v>-445</v>
      </c>
      <c r="E18" s="60">
        <f t="shared" si="6"/>
        <v>185</v>
      </c>
      <c r="F18" s="60">
        <f>5.4+5.6+52</f>
        <v>63</v>
      </c>
      <c r="G18" s="60">
        <v>185</v>
      </c>
      <c r="H18" s="60">
        <f t="shared" si="9"/>
        <v>185</v>
      </c>
      <c r="I18" s="61">
        <f t="shared" si="4"/>
        <v>1</v>
      </c>
      <c r="J18" s="61">
        <f t="shared" si="5"/>
        <v>2.9365079365079363</v>
      </c>
      <c r="K18" s="60">
        <v>663</v>
      </c>
      <c r="L18" s="61">
        <f t="shared" si="1"/>
        <v>0.2790346907993967</v>
      </c>
      <c r="M18" s="60"/>
      <c r="N18" s="60"/>
      <c r="O18" s="61">
        <f t="shared" si="2"/>
        <v>0</v>
      </c>
      <c r="P18" s="60"/>
      <c r="Q18" s="60"/>
      <c r="R18" s="60"/>
      <c r="S18" s="25"/>
    </row>
    <row r="19" spans="1:19" ht="18.75">
      <c r="A19" s="39" t="s">
        <v>95</v>
      </c>
      <c r="B19" s="8">
        <v>1050402002</v>
      </c>
      <c r="C19" s="59">
        <v>500</v>
      </c>
      <c r="D19" s="60">
        <f>195+325</f>
        <v>520</v>
      </c>
      <c r="E19" s="60">
        <f t="shared" si="6"/>
        <v>1020</v>
      </c>
      <c r="F19" s="60">
        <f>50+15+2.9+21</f>
        <v>88.9</v>
      </c>
      <c r="G19" s="60">
        <v>1070.7</v>
      </c>
      <c r="H19" s="60">
        <f t="shared" si="9"/>
        <v>1331.6</v>
      </c>
      <c r="I19" s="61">
        <f t="shared" si="4"/>
        <v>1.3054901960784313</v>
      </c>
      <c r="J19" s="61">
        <f t="shared" si="5"/>
        <v>14.978627671541055</v>
      </c>
      <c r="K19" s="60">
        <v>445.9</v>
      </c>
      <c r="L19" s="61">
        <f t="shared" si="1"/>
        <v>2.9863198026463333</v>
      </c>
      <c r="M19" s="60">
        <v>260.9</v>
      </c>
      <c r="N19" s="60">
        <v>87.9</v>
      </c>
      <c r="O19" s="61">
        <f t="shared" si="2"/>
        <v>2.9681456200227525</v>
      </c>
      <c r="P19" s="60"/>
      <c r="Q19" s="60">
        <v>1.1</v>
      </c>
      <c r="R19" s="60"/>
      <c r="S19" s="25"/>
    </row>
    <row r="20" spans="1:19" ht="16.5" customHeight="1">
      <c r="A20" s="36" t="s">
        <v>56</v>
      </c>
      <c r="B20" s="37">
        <v>1060201002</v>
      </c>
      <c r="C20" s="57">
        <v>5300</v>
      </c>
      <c r="D20" s="62">
        <f>800</f>
        <v>800</v>
      </c>
      <c r="E20" s="62">
        <f t="shared" si="6"/>
        <v>6100</v>
      </c>
      <c r="F20" s="62">
        <f>300+93+770+670+150</f>
        <v>1983</v>
      </c>
      <c r="G20" s="62">
        <v>6254.7</v>
      </c>
      <c r="H20" s="62">
        <f t="shared" si="9"/>
        <v>6256.2</v>
      </c>
      <c r="I20" s="58">
        <f t="shared" si="4"/>
        <v>1.0256065573770492</v>
      </c>
      <c r="J20" s="58">
        <f t="shared" si="5"/>
        <v>3.154916792738275</v>
      </c>
      <c r="K20" s="62">
        <v>5726</v>
      </c>
      <c r="L20" s="58">
        <f t="shared" si="1"/>
        <v>1.0925951798812434</v>
      </c>
      <c r="M20" s="62">
        <v>1.5</v>
      </c>
      <c r="N20" s="62">
        <v>0.5</v>
      </c>
      <c r="O20" s="58">
        <f t="shared" si="2"/>
        <v>3</v>
      </c>
      <c r="P20" s="62"/>
      <c r="Q20" s="62"/>
      <c r="R20" s="62"/>
      <c r="S20" s="25"/>
    </row>
    <row r="21" spans="1:19" ht="18" customHeight="1">
      <c r="A21" s="36" t="s">
        <v>63</v>
      </c>
      <c r="B21" s="37">
        <v>1080000000</v>
      </c>
      <c r="C21" s="57">
        <v>700</v>
      </c>
      <c r="D21" s="62"/>
      <c r="E21" s="62">
        <f t="shared" si="6"/>
        <v>700</v>
      </c>
      <c r="F21" s="62">
        <f>75+34+90+90</f>
        <v>289</v>
      </c>
      <c r="G21" s="62">
        <v>675.4</v>
      </c>
      <c r="H21" s="62">
        <f t="shared" si="9"/>
        <v>711</v>
      </c>
      <c r="I21" s="58">
        <f t="shared" si="4"/>
        <v>1.0157142857142858</v>
      </c>
      <c r="J21" s="58">
        <f t="shared" si="5"/>
        <v>2.4602076124567476</v>
      </c>
      <c r="K21" s="62">
        <v>715.8</v>
      </c>
      <c r="L21" s="58">
        <f t="shared" si="1"/>
        <v>0.9932942162615256</v>
      </c>
      <c r="M21" s="62">
        <v>35.6</v>
      </c>
      <c r="N21" s="62">
        <v>64.9</v>
      </c>
      <c r="O21" s="58">
        <f t="shared" si="2"/>
        <v>0.5485362095531586</v>
      </c>
      <c r="P21" s="62"/>
      <c r="Q21" s="62"/>
      <c r="R21" s="62"/>
      <c r="S21" s="25"/>
    </row>
    <row r="22" spans="1:19" ht="2.25" customHeight="1" hidden="1">
      <c r="A22" s="36" t="s">
        <v>55</v>
      </c>
      <c r="B22" s="37">
        <v>1090000000</v>
      </c>
      <c r="C22" s="57"/>
      <c r="D22" s="62"/>
      <c r="E22" s="62">
        <f t="shared" si="6"/>
        <v>0</v>
      </c>
      <c r="F22" s="62"/>
      <c r="G22" s="62"/>
      <c r="H22" s="62">
        <f t="shared" si="9"/>
        <v>0</v>
      </c>
      <c r="I22" s="58">
        <f t="shared" si="4"/>
        <v>0</v>
      </c>
      <c r="J22" s="58">
        <f t="shared" si="5"/>
        <v>0</v>
      </c>
      <c r="K22" s="62"/>
      <c r="L22" s="58">
        <f t="shared" si="1"/>
        <v>0</v>
      </c>
      <c r="M22" s="62"/>
      <c r="N22" s="62"/>
      <c r="O22" s="58">
        <f t="shared" si="2"/>
        <v>0</v>
      </c>
      <c r="P22" s="62"/>
      <c r="Q22" s="62"/>
      <c r="R22" s="62"/>
      <c r="S22" s="25"/>
    </row>
    <row r="23" spans="1:19" ht="18.75">
      <c r="A23" s="41" t="s">
        <v>22</v>
      </c>
      <c r="B23" s="42"/>
      <c r="C23" s="55">
        <f aca="true" t="shared" si="10" ref="C23:H23">C24+C31+C32+C36+C39+C40</f>
        <v>33822</v>
      </c>
      <c r="D23" s="55">
        <f t="shared" si="10"/>
        <v>-10157.65</v>
      </c>
      <c r="E23" s="55">
        <f t="shared" si="10"/>
        <v>23664.349999999995</v>
      </c>
      <c r="F23" s="55">
        <f t="shared" si="10"/>
        <v>7948.7</v>
      </c>
      <c r="G23" s="133">
        <f>G24+G31+G32+G36+G39+G40</f>
        <v>22710.3</v>
      </c>
      <c r="H23" s="55">
        <f t="shared" si="10"/>
        <v>24419.7</v>
      </c>
      <c r="I23" s="56">
        <f t="shared" si="4"/>
        <v>1.0319193216800802</v>
      </c>
      <c r="J23" s="56">
        <f t="shared" si="5"/>
        <v>3.0721627435932923</v>
      </c>
      <c r="K23" s="133">
        <f>K24+K31+K32+K36+K39+K40</f>
        <v>12166.3</v>
      </c>
      <c r="L23" s="56">
        <f t="shared" si="1"/>
        <v>2.0071591198638865</v>
      </c>
      <c r="M23" s="133">
        <f>M24+M31+M32+M36+M39+M40</f>
        <v>1709.4</v>
      </c>
      <c r="N23" s="133">
        <f>N24+N31+N32+N36+N39+N40</f>
        <v>1361.5</v>
      </c>
      <c r="O23" s="56">
        <f t="shared" si="2"/>
        <v>1.2555269922879178</v>
      </c>
      <c r="P23" s="55">
        <f>P24+P31+P32+P36+P39+P40</f>
        <v>745.1</v>
      </c>
      <c r="Q23" s="55">
        <f>Q24+Q31+Q32+Q36+Q39+Q40</f>
        <v>630.9</v>
      </c>
      <c r="R23" s="55">
        <f>R24+R31+R32+R36+R39+R40</f>
        <v>481.1</v>
      </c>
      <c r="S23" s="25"/>
    </row>
    <row r="24" spans="1:19" ht="18.75">
      <c r="A24" s="43" t="s">
        <v>60</v>
      </c>
      <c r="B24" s="37">
        <v>1110000000</v>
      </c>
      <c r="C24" s="57">
        <f aca="true" t="shared" si="11" ref="C24:H24">SUM(C25:C30)</f>
        <v>2417.3999999999996</v>
      </c>
      <c r="D24" s="57">
        <f t="shared" si="11"/>
        <v>534.7</v>
      </c>
      <c r="E24" s="57">
        <f t="shared" si="11"/>
        <v>2952.1</v>
      </c>
      <c r="F24" s="57">
        <f t="shared" si="11"/>
        <v>2087.3</v>
      </c>
      <c r="G24" s="134">
        <f>SUM(G25:G30)</f>
        <v>2892.7</v>
      </c>
      <c r="H24" s="57">
        <f t="shared" si="11"/>
        <v>3214</v>
      </c>
      <c r="I24" s="58">
        <f t="shared" si="4"/>
        <v>1.088716506893398</v>
      </c>
      <c r="J24" s="58">
        <f t="shared" si="5"/>
        <v>1.5397882431849756</v>
      </c>
      <c r="K24" s="134">
        <f>SUM(K25:K30)</f>
        <v>3101.5</v>
      </c>
      <c r="L24" s="58">
        <f t="shared" si="1"/>
        <v>1.0362727712397226</v>
      </c>
      <c r="M24" s="134">
        <f>SUM(M25:M30)</f>
        <v>321.3</v>
      </c>
      <c r="N24" s="134">
        <f>SUM(N25:N30)</f>
        <v>318.1</v>
      </c>
      <c r="O24" s="58">
        <f t="shared" si="2"/>
        <v>1.0100597296447658</v>
      </c>
      <c r="P24" s="57">
        <f>SUM(P25:P30)</f>
        <v>745.1</v>
      </c>
      <c r="Q24" s="57">
        <f>SUM(Q25:Q30)</f>
        <v>630.9</v>
      </c>
      <c r="R24" s="57">
        <f>SUM(R25:R30)</f>
        <v>481.1</v>
      </c>
      <c r="S24" s="25"/>
    </row>
    <row r="25" spans="1:19" ht="18.75" hidden="1">
      <c r="A25" s="8" t="s">
        <v>20</v>
      </c>
      <c r="B25" s="8">
        <v>1110105005</v>
      </c>
      <c r="C25" s="59"/>
      <c r="D25" s="60"/>
      <c r="E25" s="60">
        <f aca="true" t="shared" si="12" ref="E25:E31">C25+D25</f>
        <v>0</v>
      </c>
      <c r="F25" s="60"/>
      <c r="G25" s="135"/>
      <c r="H25" s="60">
        <f aca="true" t="shared" si="13" ref="H25:H31">G25+M25</f>
        <v>0</v>
      </c>
      <c r="I25" s="61">
        <f t="shared" si="4"/>
        <v>0</v>
      </c>
      <c r="J25" s="61">
        <f t="shared" si="5"/>
        <v>0</v>
      </c>
      <c r="K25" s="135"/>
      <c r="L25" s="61">
        <f t="shared" si="1"/>
        <v>0</v>
      </c>
      <c r="M25" s="135"/>
      <c r="N25" s="135"/>
      <c r="O25" s="61">
        <f t="shared" si="2"/>
        <v>0</v>
      </c>
      <c r="P25" s="60"/>
      <c r="Q25" s="60"/>
      <c r="R25" s="60"/>
      <c r="S25" s="25"/>
    </row>
    <row r="26" spans="1:19" ht="18.75">
      <c r="A26" s="8" t="s">
        <v>57</v>
      </c>
      <c r="B26" s="8">
        <v>1110501300</v>
      </c>
      <c r="C26" s="59">
        <v>1725</v>
      </c>
      <c r="D26" s="60">
        <v>-300</v>
      </c>
      <c r="E26" s="60">
        <f t="shared" si="12"/>
        <v>1425</v>
      </c>
      <c r="F26" s="60">
        <f>60+420+420</f>
        <v>900</v>
      </c>
      <c r="G26" s="135">
        <v>1284.4</v>
      </c>
      <c r="H26" s="60">
        <f t="shared" si="13"/>
        <v>1405.6000000000001</v>
      </c>
      <c r="I26" s="61">
        <f t="shared" si="4"/>
        <v>0.9863859649122808</v>
      </c>
      <c r="J26" s="61">
        <f t="shared" si="5"/>
        <v>1.561777777777778</v>
      </c>
      <c r="K26" s="135">
        <v>2194.6</v>
      </c>
      <c r="L26" s="61">
        <f t="shared" si="1"/>
        <v>0.6404811810808348</v>
      </c>
      <c r="M26" s="135">
        <v>121.2</v>
      </c>
      <c r="N26" s="135">
        <v>214.8</v>
      </c>
      <c r="O26" s="61">
        <f t="shared" si="2"/>
        <v>0.5642458100558659</v>
      </c>
      <c r="P26" s="60">
        <f>91.9+234.8</f>
        <v>326.70000000000005</v>
      </c>
      <c r="Q26" s="177">
        <f>275.7+195.2</f>
        <v>470.9</v>
      </c>
      <c r="R26" s="177">
        <f>197.2+122.9</f>
        <v>320.1</v>
      </c>
      <c r="S26" s="25"/>
    </row>
    <row r="27" spans="1:19" ht="18.75">
      <c r="A27" s="8" t="s">
        <v>58</v>
      </c>
      <c r="B27" s="8">
        <v>1110502505</v>
      </c>
      <c r="C27" s="59">
        <v>12.2</v>
      </c>
      <c r="D27" s="60">
        <v>-12.2</v>
      </c>
      <c r="E27" s="60">
        <f t="shared" si="12"/>
        <v>0</v>
      </c>
      <c r="F27" s="60"/>
      <c r="G27" s="135">
        <v>0.3</v>
      </c>
      <c r="H27" s="60">
        <f t="shared" si="13"/>
        <v>0.19999999999999998</v>
      </c>
      <c r="I27" s="61">
        <f t="shared" si="4"/>
        <v>0</v>
      </c>
      <c r="J27" s="61">
        <f t="shared" si="5"/>
        <v>0</v>
      </c>
      <c r="K27" s="135"/>
      <c r="L27" s="61">
        <f t="shared" si="1"/>
        <v>0</v>
      </c>
      <c r="M27" s="135">
        <v>-0.1</v>
      </c>
      <c r="N27" s="135">
        <v>-5.8</v>
      </c>
      <c r="O27" s="61">
        <f t="shared" si="2"/>
        <v>0</v>
      </c>
      <c r="P27" s="60"/>
      <c r="Q27" s="60"/>
      <c r="R27" s="60"/>
      <c r="S27" s="25"/>
    </row>
    <row r="28" spans="1:19" ht="18.75">
      <c r="A28" s="174" t="s">
        <v>59</v>
      </c>
      <c r="B28" s="8">
        <v>1110503505</v>
      </c>
      <c r="C28" s="59">
        <v>670</v>
      </c>
      <c r="D28" s="60"/>
      <c r="E28" s="60">
        <f t="shared" si="12"/>
        <v>670</v>
      </c>
      <c r="F28" s="60">
        <f>250+140+365+165.3+267</f>
        <v>1187.3</v>
      </c>
      <c r="G28" s="135">
        <v>683.5</v>
      </c>
      <c r="H28" s="60">
        <f t="shared" si="13"/>
        <v>751.7</v>
      </c>
      <c r="I28" s="61">
        <f t="shared" si="4"/>
        <v>1.1219402985074627</v>
      </c>
      <c r="J28" s="61">
        <f t="shared" si="5"/>
        <v>0.6331171565737388</v>
      </c>
      <c r="K28" s="135">
        <v>825.9</v>
      </c>
      <c r="L28" s="61">
        <f t="shared" si="1"/>
        <v>0.9101586148444122</v>
      </c>
      <c r="M28" s="135">
        <v>68.2</v>
      </c>
      <c r="N28" s="135">
        <v>84.3</v>
      </c>
      <c r="O28" s="61">
        <f t="shared" si="2"/>
        <v>0.8090154211150653</v>
      </c>
      <c r="P28" s="60">
        <v>418.4</v>
      </c>
      <c r="Q28" s="177">
        <v>160</v>
      </c>
      <c r="R28" s="177">
        <v>161</v>
      </c>
      <c r="S28" s="25"/>
    </row>
    <row r="29" spans="1:19" ht="18.75">
      <c r="A29" s="8" t="s">
        <v>112</v>
      </c>
      <c r="B29" s="173">
        <v>1110507505</v>
      </c>
      <c r="C29" s="59">
        <v>10.2</v>
      </c>
      <c r="D29" s="60">
        <f>446.9+400</f>
        <v>846.9</v>
      </c>
      <c r="E29" s="60">
        <f t="shared" si="12"/>
        <v>857.1</v>
      </c>
      <c r="F29" s="60"/>
      <c r="G29" s="135">
        <v>908</v>
      </c>
      <c r="H29" s="60">
        <f t="shared" si="13"/>
        <v>1037.7</v>
      </c>
      <c r="I29" s="61">
        <f t="shared" si="4"/>
        <v>1.2107105355267764</v>
      </c>
      <c r="J29" s="61"/>
      <c r="K29" s="135">
        <v>42.3</v>
      </c>
      <c r="L29" s="61">
        <f t="shared" si="1"/>
        <v>24.531914893617024</v>
      </c>
      <c r="M29" s="135">
        <v>129.7</v>
      </c>
      <c r="N29" s="135"/>
      <c r="O29" s="61">
        <f t="shared" si="2"/>
        <v>0</v>
      </c>
      <c r="P29" s="60"/>
      <c r="Q29" s="60"/>
      <c r="R29" s="60"/>
      <c r="S29" s="25"/>
    </row>
    <row r="30" spans="1:19" ht="18.75">
      <c r="A30" s="8" t="s">
        <v>23</v>
      </c>
      <c r="B30" s="8">
        <v>1110904505</v>
      </c>
      <c r="C30" s="59"/>
      <c r="D30" s="60"/>
      <c r="E30" s="60">
        <f t="shared" si="12"/>
        <v>0</v>
      </c>
      <c r="F30" s="60"/>
      <c r="G30" s="135">
        <v>16.5</v>
      </c>
      <c r="H30" s="60">
        <f t="shared" si="13"/>
        <v>18.8</v>
      </c>
      <c r="I30" s="61">
        <f t="shared" si="4"/>
        <v>0</v>
      </c>
      <c r="J30" s="61">
        <f t="shared" si="5"/>
        <v>0</v>
      </c>
      <c r="K30" s="135">
        <v>38.7</v>
      </c>
      <c r="L30" s="61">
        <f t="shared" si="1"/>
        <v>0.4857881136950904</v>
      </c>
      <c r="M30" s="135">
        <v>2.3</v>
      </c>
      <c r="N30" s="135">
        <v>24.8</v>
      </c>
      <c r="O30" s="61">
        <f t="shared" si="2"/>
        <v>0.09274193548387095</v>
      </c>
      <c r="P30" s="60"/>
      <c r="Q30" s="60"/>
      <c r="R30" s="60"/>
      <c r="S30" s="25"/>
    </row>
    <row r="31" spans="1:19" ht="18.75">
      <c r="A31" s="43" t="s">
        <v>64</v>
      </c>
      <c r="B31" s="37">
        <v>1120100000</v>
      </c>
      <c r="C31" s="57">
        <v>10.8</v>
      </c>
      <c r="D31" s="62"/>
      <c r="E31" s="62">
        <f t="shared" si="12"/>
        <v>10.8</v>
      </c>
      <c r="F31" s="62">
        <f>30+30+15</f>
        <v>75</v>
      </c>
      <c r="G31" s="136">
        <v>26.5</v>
      </c>
      <c r="H31" s="62">
        <f t="shared" si="13"/>
        <v>26.5</v>
      </c>
      <c r="I31" s="58">
        <f t="shared" si="4"/>
        <v>2.4537037037037037</v>
      </c>
      <c r="J31" s="58">
        <f t="shared" si="5"/>
        <v>0.35333333333333333</v>
      </c>
      <c r="K31" s="136">
        <v>23.4</v>
      </c>
      <c r="L31" s="58">
        <f t="shared" si="1"/>
        <v>1.1324786324786325</v>
      </c>
      <c r="M31" s="136"/>
      <c r="N31" s="136">
        <v>0.1</v>
      </c>
      <c r="O31" s="58">
        <f t="shared" si="2"/>
        <v>0</v>
      </c>
      <c r="P31" s="62"/>
      <c r="Q31" s="62"/>
      <c r="R31" s="62"/>
      <c r="S31" s="25"/>
    </row>
    <row r="32" spans="1:19" ht="18.75">
      <c r="A32" s="43" t="s">
        <v>65</v>
      </c>
      <c r="B32" s="37">
        <v>1130000000</v>
      </c>
      <c r="C32" s="57">
        <f aca="true" t="shared" si="14" ref="C32:H32">SUM(C33:C35)</f>
        <v>8850</v>
      </c>
      <c r="D32" s="57">
        <f t="shared" si="14"/>
        <v>-2062.9700000000003</v>
      </c>
      <c r="E32" s="57">
        <f t="shared" si="14"/>
        <v>6787.03</v>
      </c>
      <c r="F32" s="57">
        <f t="shared" si="14"/>
        <v>5703.4</v>
      </c>
      <c r="G32" s="134">
        <f>SUM(G33:G35)</f>
        <v>5862.9</v>
      </c>
      <c r="H32" s="57">
        <f t="shared" si="14"/>
        <v>6623</v>
      </c>
      <c r="I32" s="58">
        <f t="shared" si="4"/>
        <v>0.9758318439729897</v>
      </c>
      <c r="J32" s="58">
        <f t="shared" si="5"/>
        <v>1.161237156783673</v>
      </c>
      <c r="K32" s="134">
        <f>SUM(K33:K35)</f>
        <v>7429.700000000001</v>
      </c>
      <c r="L32" s="58">
        <f t="shared" si="1"/>
        <v>0.8914222646944021</v>
      </c>
      <c r="M32" s="134">
        <f>SUM(M33:M35)</f>
        <v>760.1</v>
      </c>
      <c r="N32" s="134">
        <f>SUM(N33:N35)</f>
        <v>997.6</v>
      </c>
      <c r="O32" s="58">
        <f t="shared" si="2"/>
        <v>0.7619286287089013</v>
      </c>
      <c r="P32" s="57">
        <f>SUM(P33:P35)</f>
        <v>0</v>
      </c>
      <c r="Q32" s="57">
        <f>SUM(Q33:Q35)</f>
        <v>0</v>
      </c>
      <c r="R32" s="57">
        <f>SUM(R33:R35)</f>
        <v>0</v>
      </c>
      <c r="S32" s="25"/>
    </row>
    <row r="33" spans="1:19" ht="18.75">
      <c r="A33" s="44" t="s">
        <v>34</v>
      </c>
      <c r="B33" s="44">
        <v>1130199505</v>
      </c>
      <c r="C33" s="59">
        <v>8390</v>
      </c>
      <c r="D33" s="60">
        <f>75.31-2138.28</f>
        <v>-2062.9700000000003</v>
      </c>
      <c r="E33" s="60">
        <f>C33+D33</f>
        <v>6327.03</v>
      </c>
      <c r="F33" s="60">
        <f>1963.4+1945+1295</f>
        <v>5203.4</v>
      </c>
      <c r="G33" s="135">
        <v>5462.2</v>
      </c>
      <c r="H33" s="60">
        <f>G33+M33</f>
        <v>6087.4</v>
      </c>
      <c r="I33" s="61">
        <f t="shared" si="4"/>
        <v>0.9621259896033367</v>
      </c>
      <c r="J33" s="61">
        <f t="shared" si="5"/>
        <v>1.1698889187838721</v>
      </c>
      <c r="K33" s="135">
        <v>4734.1</v>
      </c>
      <c r="L33" s="61">
        <f t="shared" si="1"/>
        <v>1.2858621490885278</v>
      </c>
      <c r="M33" s="135">
        <v>625.2</v>
      </c>
      <c r="N33" s="135">
        <v>733.2</v>
      </c>
      <c r="O33" s="61">
        <f t="shared" si="2"/>
        <v>0.8527004909983633</v>
      </c>
      <c r="P33" s="60"/>
      <c r="Q33" s="60"/>
      <c r="R33" s="60"/>
      <c r="S33" s="25"/>
    </row>
    <row r="34" spans="1:19" ht="18.75">
      <c r="A34" s="44" t="s">
        <v>35</v>
      </c>
      <c r="B34" s="44">
        <v>1130206505</v>
      </c>
      <c r="C34" s="59">
        <v>460</v>
      </c>
      <c r="D34" s="60"/>
      <c r="E34" s="60">
        <f>C34+D34</f>
        <v>460</v>
      </c>
      <c r="F34" s="60">
        <f>240+165+95</f>
        <v>500</v>
      </c>
      <c r="G34" s="135">
        <v>347.9</v>
      </c>
      <c r="H34" s="60">
        <f>G34+M34</f>
        <v>482.79999999999995</v>
      </c>
      <c r="I34" s="61">
        <f t="shared" si="4"/>
        <v>1.0495652173913042</v>
      </c>
      <c r="J34" s="61">
        <f t="shared" si="5"/>
        <v>0.9655999999999999</v>
      </c>
      <c r="K34" s="135">
        <v>495.7</v>
      </c>
      <c r="L34" s="61">
        <f t="shared" si="1"/>
        <v>0.9739761952794028</v>
      </c>
      <c r="M34" s="135">
        <v>134.9</v>
      </c>
      <c r="N34" s="135">
        <v>118.9</v>
      </c>
      <c r="O34" s="61">
        <f t="shared" si="2"/>
        <v>1.1345668629100083</v>
      </c>
      <c r="P34" s="60"/>
      <c r="Q34" s="60"/>
      <c r="R34" s="60"/>
      <c r="S34" s="25"/>
    </row>
    <row r="35" spans="1:19" ht="18.75">
      <c r="A35" s="44" t="s">
        <v>61</v>
      </c>
      <c r="B35" s="44">
        <v>1130299505</v>
      </c>
      <c r="C35" s="59"/>
      <c r="D35" s="60"/>
      <c r="E35" s="60">
        <f>C35+D35</f>
        <v>0</v>
      </c>
      <c r="F35" s="60"/>
      <c r="G35" s="135">
        <v>52.8</v>
      </c>
      <c r="H35" s="60">
        <f>G35+M35</f>
        <v>52.8</v>
      </c>
      <c r="I35" s="61">
        <f t="shared" si="4"/>
        <v>0</v>
      </c>
      <c r="J35" s="61">
        <f t="shared" si="5"/>
        <v>0</v>
      </c>
      <c r="K35" s="135">
        <v>2199.9</v>
      </c>
      <c r="L35" s="61">
        <f t="shared" si="1"/>
        <v>0.024001090958679937</v>
      </c>
      <c r="M35" s="135"/>
      <c r="N35" s="135">
        <v>145.5</v>
      </c>
      <c r="O35" s="61">
        <f t="shared" si="2"/>
        <v>0</v>
      </c>
      <c r="P35" s="60"/>
      <c r="Q35" s="60"/>
      <c r="R35" s="60"/>
      <c r="S35" s="25"/>
    </row>
    <row r="36" spans="1:19" ht="18.75">
      <c r="A36" s="43" t="s">
        <v>66</v>
      </c>
      <c r="B36" s="37">
        <v>1140000000</v>
      </c>
      <c r="C36" s="57">
        <f aca="true" t="shared" si="15" ref="C36:H36">SUM(C37:C38)</f>
        <v>22543.8</v>
      </c>
      <c r="D36" s="57">
        <f t="shared" si="15"/>
        <v>-11987.78</v>
      </c>
      <c r="E36" s="57">
        <f t="shared" si="15"/>
        <v>10556.019999999999</v>
      </c>
      <c r="F36" s="57">
        <f t="shared" si="15"/>
        <v>0</v>
      </c>
      <c r="G36" s="134">
        <f>G37+G38</f>
        <v>10568.5</v>
      </c>
      <c r="H36" s="57">
        <f t="shared" si="15"/>
        <v>10637.5</v>
      </c>
      <c r="I36" s="58">
        <f t="shared" si="4"/>
        <v>1.0077188182667332</v>
      </c>
      <c r="J36" s="58">
        <f t="shared" si="5"/>
        <v>0</v>
      </c>
      <c r="K36" s="134">
        <f>K37+K38</f>
        <v>21.3</v>
      </c>
      <c r="L36" s="58">
        <f t="shared" si="1"/>
        <v>499.4131455399061</v>
      </c>
      <c r="M36" s="134">
        <f>M37+M38</f>
        <v>69</v>
      </c>
      <c r="N36" s="134">
        <f>N37+N38</f>
        <v>-0.4</v>
      </c>
      <c r="O36" s="58">
        <f>IF(N36&gt;0,M36/N36,0)</f>
        <v>0</v>
      </c>
      <c r="P36" s="57">
        <f>SUM(P37:P38)</f>
        <v>0</v>
      </c>
      <c r="Q36" s="57">
        <f>SUM(Q37:Q38)</f>
        <v>0</v>
      </c>
      <c r="R36" s="57">
        <f>SUM(R37:R38)</f>
        <v>0</v>
      </c>
      <c r="S36" s="25"/>
    </row>
    <row r="37" spans="1:19" ht="18.75">
      <c r="A37" s="8" t="s">
        <v>31</v>
      </c>
      <c r="B37" s="8">
        <v>1140205305</v>
      </c>
      <c r="C37" s="59">
        <v>22543.8</v>
      </c>
      <c r="D37" s="60">
        <f>1627.84-14508.2-1309.52</f>
        <v>-14189.880000000001</v>
      </c>
      <c r="E37" s="60">
        <f aca="true" t="shared" si="16" ref="E37:E43">C37+D37</f>
        <v>8353.919999999998</v>
      </c>
      <c r="F37" s="60"/>
      <c r="G37" s="135">
        <v>8361.1</v>
      </c>
      <c r="H37" s="60">
        <f>G37+M37</f>
        <v>8365.1</v>
      </c>
      <c r="I37" s="61">
        <f t="shared" si="4"/>
        <v>1.001338293878802</v>
      </c>
      <c r="J37" s="61">
        <f t="shared" si="5"/>
        <v>0</v>
      </c>
      <c r="K37" s="135"/>
      <c r="L37" s="61">
        <f t="shared" si="1"/>
        <v>0</v>
      </c>
      <c r="M37" s="135">
        <v>4</v>
      </c>
      <c r="N37" s="135"/>
      <c r="O37" s="61">
        <f>IF(N37&gt;0,M37/N37,0)</f>
        <v>0</v>
      </c>
      <c r="P37" s="60"/>
      <c r="Q37" s="60"/>
      <c r="R37" s="60"/>
      <c r="S37" s="25"/>
    </row>
    <row r="38" spans="1:19" ht="18.75">
      <c r="A38" s="8" t="s">
        <v>32</v>
      </c>
      <c r="B38" s="8">
        <v>1140600000</v>
      </c>
      <c r="C38" s="59"/>
      <c r="D38" s="60">
        <f>103.6+682.5+1416</f>
        <v>2202.1</v>
      </c>
      <c r="E38" s="60">
        <f t="shared" si="16"/>
        <v>2202.1</v>
      </c>
      <c r="F38" s="60"/>
      <c r="G38" s="135">
        <v>2207.4</v>
      </c>
      <c r="H38" s="60">
        <f>G38+M38</f>
        <v>2272.4</v>
      </c>
      <c r="I38" s="61">
        <f t="shared" si="4"/>
        <v>1.0319240724762728</v>
      </c>
      <c r="J38" s="61">
        <f t="shared" si="5"/>
        <v>0</v>
      </c>
      <c r="K38" s="135">
        <v>21.3</v>
      </c>
      <c r="L38" s="61">
        <f t="shared" si="1"/>
        <v>106.68544600938968</v>
      </c>
      <c r="M38" s="135">
        <v>65</v>
      </c>
      <c r="N38" s="135">
        <v>-0.4</v>
      </c>
      <c r="O38" s="61">
        <f t="shared" si="2"/>
        <v>0</v>
      </c>
      <c r="P38" s="60"/>
      <c r="Q38" s="60"/>
      <c r="R38" s="60"/>
      <c r="S38" s="25"/>
    </row>
    <row r="39" spans="1:19" ht="18.75">
      <c r="A39" s="43" t="s">
        <v>67</v>
      </c>
      <c r="B39" s="37">
        <v>1160000000</v>
      </c>
      <c r="C39" s="57"/>
      <c r="D39" s="62">
        <f>158.2+2045.7+741.4</f>
        <v>2945.3</v>
      </c>
      <c r="E39" s="62">
        <f t="shared" si="16"/>
        <v>2945.3</v>
      </c>
      <c r="F39" s="62">
        <f>38+45</f>
        <v>83</v>
      </c>
      <c r="G39" s="136">
        <v>2875.5</v>
      </c>
      <c r="H39" s="62">
        <f>G39+M39</f>
        <v>3434.4</v>
      </c>
      <c r="I39" s="58">
        <f t="shared" si="4"/>
        <v>1.166061182222524</v>
      </c>
      <c r="J39" s="58">
        <f t="shared" si="5"/>
        <v>41.37831325301205</v>
      </c>
      <c r="K39" s="136">
        <v>1593.5</v>
      </c>
      <c r="L39" s="58">
        <f t="shared" si="1"/>
        <v>2.1552557263884533</v>
      </c>
      <c r="M39" s="136">
        <v>558.9</v>
      </c>
      <c r="N39" s="136">
        <v>46.8</v>
      </c>
      <c r="O39" s="58">
        <f t="shared" si="2"/>
        <v>11.942307692307693</v>
      </c>
      <c r="P39" s="62"/>
      <c r="Q39" s="62"/>
      <c r="R39" s="62"/>
      <c r="S39" s="25"/>
    </row>
    <row r="40" spans="1:19" ht="18.75">
      <c r="A40" s="43" t="s">
        <v>68</v>
      </c>
      <c r="B40" s="37">
        <v>1170000000</v>
      </c>
      <c r="C40" s="57">
        <f>SUM(C41:C43)</f>
        <v>0</v>
      </c>
      <c r="D40" s="57">
        <f>SUM(D41:D43)</f>
        <v>413.1</v>
      </c>
      <c r="E40" s="62">
        <f t="shared" si="16"/>
        <v>413.1</v>
      </c>
      <c r="F40" s="57">
        <f>SUM(F41:F43)</f>
        <v>0</v>
      </c>
      <c r="G40" s="57">
        <f>SUM(G41:G43)</f>
        <v>484.2</v>
      </c>
      <c r="H40" s="57">
        <f>SUM(H41:H43)</f>
        <v>484.3</v>
      </c>
      <c r="I40" s="58">
        <f t="shared" si="4"/>
        <v>1.1723553618978455</v>
      </c>
      <c r="J40" s="58">
        <f t="shared" si="5"/>
        <v>0</v>
      </c>
      <c r="K40" s="57">
        <f>SUM(K41:K42)</f>
        <v>-3.1</v>
      </c>
      <c r="L40" s="58">
        <f t="shared" si="1"/>
        <v>0</v>
      </c>
      <c r="M40" s="57">
        <f>SUM(M41:M43)</f>
        <v>0.1</v>
      </c>
      <c r="N40" s="57">
        <f>SUM(N41:N42)</f>
        <v>-0.7</v>
      </c>
      <c r="O40" s="58">
        <f t="shared" si="2"/>
        <v>0</v>
      </c>
      <c r="P40" s="57">
        <f>SUM(P41:P42)</f>
        <v>0</v>
      </c>
      <c r="Q40" s="57">
        <f>SUM(Q41:Q42)</f>
        <v>0</v>
      </c>
      <c r="R40" s="57">
        <f>SUM(R41:R42)</f>
        <v>0</v>
      </c>
      <c r="S40" s="25"/>
    </row>
    <row r="41" spans="1:19" ht="18.75">
      <c r="A41" s="8" t="s">
        <v>8</v>
      </c>
      <c r="B41" s="8">
        <v>1170105005</v>
      </c>
      <c r="C41" s="59"/>
      <c r="D41" s="60"/>
      <c r="E41" s="60">
        <f t="shared" si="16"/>
        <v>0</v>
      </c>
      <c r="F41" s="60"/>
      <c r="G41" s="135"/>
      <c r="H41" s="60">
        <f>G41+M41</f>
        <v>0.1</v>
      </c>
      <c r="I41" s="61">
        <f t="shared" si="4"/>
        <v>0</v>
      </c>
      <c r="J41" s="61">
        <f t="shared" si="5"/>
        <v>0</v>
      </c>
      <c r="K41" s="135">
        <v>-3.1</v>
      </c>
      <c r="L41" s="61">
        <f t="shared" si="1"/>
        <v>0</v>
      </c>
      <c r="M41" s="135">
        <v>0.1</v>
      </c>
      <c r="N41" s="135">
        <v>-0.7</v>
      </c>
      <c r="O41" s="61">
        <f t="shared" si="2"/>
        <v>0</v>
      </c>
      <c r="P41" s="60"/>
      <c r="Q41" s="60"/>
      <c r="R41" s="60"/>
      <c r="S41" s="25"/>
    </row>
    <row r="42" spans="1:19" ht="18.75">
      <c r="A42" s="8" t="s">
        <v>14</v>
      </c>
      <c r="B42" s="8">
        <v>1170505005</v>
      </c>
      <c r="C42" s="59"/>
      <c r="D42" s="60"/>
      <c r="E42" s="60">
        <f t="shared" si="16"/>
        <v>0</v>
      </c>
      <c r="F42" s="60"/>
      <c r="G42" s="135"/>
      <c r="H42" s="60">
        <f>G42+M42</f>
        <v>0</v>
      </c>
      <c r="I42" s="61">
        <f t="shared" si="4"/>
        <v>0</v>
      </c>
      <c r="J42" s="61">
        <f t="shared" si="5"/>
        <v>0</v>
      </c>
      <c r="K42" s="135"/>
      <c r="L42" s="61">
        <f t="shared" si="1"/>
        <v>0</v>
      </c>
      <c r="M42" s="135"/>
      <c r="N42" s="135"/>
      <c r="O42" s="61">
        <f t="shared" si="2"/>
        <v>0</v>
      </c>
      <c r="P42" s="60"/>
      <c r="Q42" s="60"/>
      <c r="R42" s="60"/>
      <c r="S42" s="25"/>
    </row>
    <row r="43" spans="1:19" ht="18.75">
      <c r="A43" s="8" t="s">
        <v>118</v>
      </c>
      <c r="B43" s="8">
        <v>1171503005</v>
      </c>
      <c r="C43" s="59"/>
      <c r="D43" s="60">
        <f>383.1+30</f>
        <v>413.1</v>
      </c>
      <c r="E43" s="60">
        <f t="shared" si="16"/>
        <v>413.1</v>
      </c>
      <c r="F43" s="60"/>
      <c r="G43" s="135">
        <v>484.2</v>
      </c>
      <c r="H43" s="60">
        <f>G43+M43</f>
        <v>484.2</v>
      </c>
      <c r="I43" s="61">
        <f t="shared" si="4"/>
        <v>1.1721132897603486</v>
      </c>
      <c r="J43" s="61"/>
      <c r="K43" s="135"/>
      <c r="L43" s="61">
        <f t="shared" si="1"/>
        <v>0</v>
      </c>
      <c r="M43" s="135"/>
      <c r="N43" s="135"/>
      <c r="O43" s="61">
        <f t="shared" si="2"/>
        <v>0</v>
      </c>
      <c r="P43" s="60"/>
      <c r="Q43" s="60"/>
      <c r="R43" s="60"/>
      <c r="S43" s="25"/>
    </row>
    <row r="44" spans="1:20" ht="18.75" customHeight="1">
      <c r="A44" s="42" t="s">
        <v>88</v>
      </c>
      <c r="B44" s="42">
        <v>1000000000</v>
      </c>
      <c r="C44" s="55">
        <f aca="true" t="shared" si="17" ref="C44:H44">C4+C23</f>
        <v>88172.7</v>
      </c>
      <c r="D44" s="55">
        <f t="shared" si="17"/>
        <v>4160.25</v>
      </c>
      <c r="E44" s="55">
        <f t="shared" si="17"/>
        <v>92332.95</v>
      </c>
      <c r="F44" s="55">
        <f t="shared" si="17"/>
        <v>36236.4</v>
      </c>
      <c r="G44" s="55">
        <f>G4+G23</f>
        <v>90326.09999999999</v>
      </c>
      <c r="H44" s="120">
        <f t="shared" si="17"/>
        <v>96905.9</v>
      </c>
      <c r="I44" s="56">
        <f t="shared" si="4"/>
        <v>1.0495267399124582</v>
      </c>
      <c r="J44" s="56">
        <f t="shared" si="5"/>
        <v>2.6742695190471455</v>
      </c>
      <c r="K44" s="55">
        <f>K4+K23</f>
        <v>70496.1</v>
      </c>
      <c r="L44" s="56">
        <f t="shared" si="1"/>
        <v>1.3746278162905463</v>
      </c>
      <c r="M44" s="55">
        <f>M4+M23</f>
        <v>6579.799999999999</v>
      </c>
      <c r="N44" s="55">
        <f>N4+N23</f>
        <v>6031.7</v>
      </c>
      <c r="O44" s="56">
        <f t="shared" si="2"/>
        <v>1.090869904007162</v>
      </c>
      <c r="P44" s="55">
        <f>P4+P23</f>
        <v>1137.1000000000001</v>
      </c>
      <c r="Q44" s="55">
        <f>Q4+Q23</f>
        <v>813.9</v>
      </c>
      <c r="R44" s="55">
        <f>R4+R23</f>
        <v>658.3000000000001</v>
      </c>
      <c r="S44" s="156"/>
      <c r="T44" s="166"/>
    </row>
    <row r="45" spans="1:19" ht="18.75" customHeight="1">
      <c r="A45" s="42" t="s">
        <v>90</v>
      </c>
      <c r="B45" s="42"/>
      <c r="C45" s="55">
        <f>C44-C9-8300</f>
        <v>71536.7</v>
      </c>
      <c r="D45" s="55">
        <f>D44-D9+2138.28</f>
        <v>6298.530000000001</v>
      </c>
      <c r="E45" s="55">
        <f>C45+D45</f>
        <v>77835.23</v>
      </c>
      <c r="F45" s="55">
        <f>F44-F9-1728.4-1750</f>
        <v>27993</v>
      </c>
      <c r="G45" s="55">
        <f>G44-G9-5376.1</f>
        <v>77207.99999999999</v>
      </c>
      <c r="H45" s="120">
        <f>G45+M45</f>
        <v>82412.79999999999</v>
      </c>
      <c r="I45" s="56">
        <f>IF(E45&gt;0,H45/E45,0)</f>
        <v>1.0588110294014677</v>
      </c>
      <c r="J45" s="56">
        <f>IF(F45&gt;0,H45/F45,0)</f>
        <v>2.9440502982888574</v>
      </c>
      <c r="K45" s="55">
        <v>58460.3</v>
      </c>
      <c r="L45" s="56">
        <f t="shared" si="1"/>
        <v>1.4097224954370742</v>
      </c>
      <c r="M45" s="55">
        <f>M44-M9-620.8</f>
        <v>5204.799999999999</v>
      </c>
      <c r="N45" s="55">
        <f>N44-N10-713.3</f>
        <v>5036.099999999999</v>
      </c>
      <c r="O45" s="56">
        <f t="shared" si="2"/>
        <v>1.0334981434046187</v>
      </c>
      <c r="P45" s="55"/>
      <c r="Q45" s="55"/>
      <c r="R45" s="55"/>
      <c r="S45" s="163"/>
    </row>
    <row r="46" spans="1:19" ht="18.75">
      <c r="A46" s="8" t="s">
        <v>36</v>
      </c>
      <c r="B46" s="8">
        <v>2000000000</v>
      </c>
      <c r="C46" s="59">
        <v>197304.432</v>
      </c>
      <c r="D46" s="128">
        <f>6286+31.3+2787.4+4132.36+860.2+23</f>
        <v>14120.260000000002</v>
      </c>
      <c r="E46" s="128">
        <f>C46+D46</f>
        <v>211424.692</v>
      </c>
      <c r="F46" s="60">
        <f>34850.65+571.1+470.1+38803.34</f>
        <v>74695.19</v>
      </c>
      <c r="G46" s="60">
        <v>189392.6</v>
      </c>
      <c r="H46" s="60">
        <f>G46+M46</f>
        <v>207568.4</v>
      </c>
      <c r="I46" s="61">
        <f t="shared" si="4"/>
        <v>0.9817604464099207</v>
      </c>
      <c r="J46" s="61">
        <f t="shared" si="5"/>
        <v>2.778872374513004</v>
      </c>
      <c r="K46" s="60">
        <v>206681.1</v>
      </c>
      <c r="L46" s="61">
        <f t="shared" si="1"/>
        <v>1.0042930872730984</v>
      </c>
      <c r="M46" s="60">
        <v>18175.8</v>
      </c>
      <c r="N46" s="60">
        <v>24954.2</v>
      </c>
      <c r="O46" s="61">
        <f t="shared" si="2"/>
        <v>0.7283663671846823</v>
      </c>
      <c r="P46" s="60"/>
      <c r="Q46" s="60"/>
      <c r="R46" s="60"/>
      <c r="S46" s="163"/>
    </row>
    <row r="47" spans="1:19" ht="18.75">
      <c r="A47" s="8" t="s">
        <v>116</v>
      </c>
      <c r="B47" s="45" t="s">
        <v>101</v>
      </c>
      <c r="C47" s="59"/>
      <c r="D47" s="60">
        <f>45+750+750+379.86</f>
        <v>1924.8600000000001</v>
      </c>
      <c r="E47" s="60">
        <f>C47+D47</f>
        <v>1924.8600000000001</v>
      </c>
      <c r="F47" s="60"/>
      <c r="G47" s="60">
        <v>1550.4</v>
      </c>
      <c r="H47" s="60">
        <f>G47+M47</f>
        <v>1930.3000000000002</v>
      </c>
      <c r="I47" s="61">
        <f t="shared" si="4"/>
        <v>1.002826179566306</v>
      </c>
      <c r="J47" s="61">
        <f t="shared" si="5"/>
        <v>0</v>
      </c>
      <c r="K47" s="60">
        <v>290.7</v>
      </c>
      <c r="L47" s="61">
        <f t="shared" si="1"/>
        <v>6.640178878568972</v>
      </c>
      <c r="M47" s="60">
        <v>379.9</v>
      </c>
      <c r="N47" s="60">
        <v>51.6</v>
      </c>
      <c r="O47" s="61">
        <f t="shared" si="2"/>
        <v>7.362403100775193</v>
      </c>
      <c r="P47" s="60"/>
      <c r="Q47" s="60"/>
      <c r="R47" s="60"/>
      <c r="S47" s="25"/>
    </row>
    <row r="48" spans="1:19" ht="18.75">
      <c r="A48" s="8" t="s">
        <v>45</v>
      </c>
      <c r="B48" s="45" t="s">
        <v>37</v>
      </c>
      <c r="C48" s="59"/>
      <c r="D48" s="60">
        <f>0.4</f>
        <v>0.4</v>
      </c>
      <c r="E48" s="60">
        <f>C48+D48</f>
        <v>0.4</v>
      </c>
      <c r="F48" s="60"/>
      <c r="G48" s="60">
        <v>22.8</v>
      </c>
      <c r="H48" s="60">
        <f>G48+M48</f>
        <v>31.6</v>
      </c>
      <c r="I48" s="61">
        <f t="shared" si="4"/>
        <v>79</v>
      </c>
      <c r="J48" s="61"/>
      <c r="K48" s="60"/>
      <c r="L48" s="61">
        <f t="shared" si="1"/>
        <v>0</v>
      </c>
      <c r="M48" s="60">
        <v>8.8</v>
      </c>
      <c r="N48" s="60"/>
      <c r="O48" s="61"/>
      <c r="P48" s="60"/>
      <c r="Q48" s="60"/>
      <c r="R48" s="60"/>
      <c r="S48" s="25"/>
    </row>
    <row r="49" spans="1:19" ht="18.75">
      <c r="A49" s="8" t="s">
        <v>92</v>
      </c>
      <c r="B49" s="45" t="s">
        <v>108</v>
      </c>
      <c r="C49" s="59"/>
      <c r="D49" s="128"/>
      <c r="E49" s="128">
        <f>C49+D49</f>
        <v>0</v>
      </c>
      <c r="F49" s="60"/>
      <c r="G49" s="60">
        <v>-2.7</v>
      </c>
      <c r="H49" s="60">
        <f>G49+M49</f>
        <v>-2.7</v>
      </c>
      <c r="I49" s="61">
        <f t="shared" si="4"/>
        <v>0</v>
      </c>
      <c r="J49" s="61"/>
      <c r="K49" s="60">
        <v>-120.6</v>
      </c>
      <c r="L49" s="61">
        <f t="shared" si="1"/>
        <v>0</v>
      </c>
      <c r="M49" s="60"/>
      <c r="N49" s="60"/>
      <c r="O49" s="61">
        <f t="shared" si="2"/>
        <v>0</v>
      </c>
      <c r="P49" s="60"/>
      <c r="Q49" s="60"/>
      <c r="R49" s="60"/>
      <c r="S49" s="25"/>
    </row>
    <row r="50" spans="1:20" ht="18.75">
      <c r="A50" s="42" t="s">
        <v>2</v>
      </c>
      <c r="B50" s="42">
        <v>0</v>
      </c>
      <c r="C50" s="159">
        <f>C44+C46+C47</f>
        <v>285477.132</v>
      </c>
      <c r="D50" s="159">
        <f>D44+D46+D47+D48+D49</f>
        <v>20205.770000000004</v>
      </c>
      <c r="E50" s="159">
        <f>E44+E46+E47+E48+E49</f>
        <v>305682.902</v>
      </c>
      <c r="F50" s="120">
        <f>F44+F46+F47</f>
        <v>110931.59</v>
      </c>
      <c r="G50" s="120">
        <f>G44+G46+G47+G48+G49</f>
        <v>281289.2</v>
      </c>
      <c r="H50" s="120">
        <f>H44+H46+H47+H49+H48</f>
        <v>306433.49999999994</v>
      </c>
      <c r="I50" s="56">
        <f t="shared" si="4"/>
        <v>1.0024554791749523</v>
      </c>
      <c r="J50" s="56">
        <f t="shared" si="5"/>
        <v>2.7623646249008056</v>
      </c>
      <c r="K50" s="120">
        <f>K44+K46+K47+K49+K48</f>
        <v>277347.30000000005</v>
      </c>
      <c r="L50" s="56">
        <f t="shared" si="1"/>
        <v>1.1048728435430952</v>
      </c>
      <c r="M50" s="120">
        <f>M44+M46+M47+M49+M48</f>
        <v>25144.3</v>
      </c>
      <c r="N50" s="120">
        <f>N44+N46+N47+N49+N48</f>
        <v>31037.5</v>
      </c>
      <c r="O50" s="56">
        <f t="shared" si="2"/>
        <v>0.810126459927507</v>
      </c>
      <c r="P50" s="55">
        <f>P44+P46+P47</f>
        <v>1137.1000000000001</v>
      </c>
      <c r="Q50" s="55">
        <f>Q44+Q46+Q47</f>
        <v>813.9</v>
      </c>
      <c r="R50" s="55">
        <f>R44+R46+R47</f>
        <v>658.3000000000001</v>
      </c>
      <c r="S50" s="26"/>
      <c r="T50" s="171"/>
    </row>
    <row r="51" spans="1:19" ht="19.5" customHeight="1">
      <c r="A51" s="3"/>
      <c r="B51" s="3"/>
      <c r="C51" s="3"/>
      <c r="S51" s="164"/>
    </row>
    <row r="52" spans="1:8" ht="20.25">
      <c r="A52" s="3"/>
      <c r="B52" s="3"/>
      <c r="C52" s="3"/>
      <c r="E52" s="137"/>
      <c r="G52" s="129"/>
      <c r="H52" s="137"/>
    </row>
    <row r="53" spans="1:3" ht="18">
      <c r="A53" s="179"/>
      <c r="B53" s="179"/>
      <c r="C53" s="3"/>
    </row>
    <row r="54" spans="1:8" ht="18">
      <c r="A54" s="179"/>
      <c r="B54" s="179"/>
      <c r="C54" s="3"/>
      <c r="H54" s="137"/>
    </row>
    <row r="55" spans="1:2" ht="18">
      <c r="A55" s="178"/>
      <c r="B55" s="178"/>
    </row>
    <row r="56" spans="1:2" ht="18">
      <c r="A56" s="178"/>
      <c r="B56" s="178"/>
    </row>
    <row r="57" spans="1:2" ht="18">
      <c r="A57" s="178"/>
      <c r="B57" s="178"/>
    </row>
    <row r="58" spans="1:2" ht="18">
      <c r="A58" s="178"/>
      <c r="B58" s="178"/>
    </row>
    <row r="59" spans="1:2" ht="18">
      <c r="A59" s="178"/>
      <c r="B59" s="178"/>
    </row>
    <row r="60" spans="1:2" ht="18">
      <c r="A60" s="178"/>
      <c r="B60" s="178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P2:R2"/>
    <mergeCell ref="K2:L2"/>
    <mergeCell ref="M2:M3"/>
    <mergeCell ref="N2:N3"/>
    <mergeCell ref="O2:O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5" sqref="A25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2.25390625" style="0" customWidth="1"/>
    <col min="14" max="14" width="11.75390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5"/>
      <c r="B1" s="47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49"/>
      <c r="P1" s="25"/>
      <c r="Q1" s="25"/>
      <c r="R1" s="25"/>
    </row>
    <row r="2" spans="1:18" ht="15.75">
      <c r="A2" s="25"/>
      <c r="B2" s="186" t="s">
        <v>126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3.5" customHeight="1" thickBot="1">
      <c r="A3" s="187" t="s">
        <v>3</v>
      </c>
      <c r="B3" s="189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21" ht="111" customHeight="1" thickBot="1">
      <c r="A4" s="188"/>
      <c r="B4" s="190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120</v>
      </c>
      <c r="R4" s="121" t="s">
        <v>124</v>
      </c>
      <c r="S4" s="1"/>
      <c r="T4" s="1"/>
      <c r="U4" s="2"/>
    </row>
    <row r="5" spans="1:21" ht="21.75" customHeight="1">
      <c r="A5" s="50" t="s">
        <v>21</v>
      </c>
      <c r="B5" s="51"/>
      <c r="C5" s="88">
        <f aca="true" t="shared" si="0" ref="C5:H5">C6+C15+C17+C22+C10</f>
        <v>8454.727</v>
      </c>
      <c r="D5" s="88">
        <f t="shared" si="0"/>
        <v>165.222</v>
      </c>
      <c r="E5" s="88">
        <f t="shared" si="0"/>
        <v>8619.949</v>
      </c>
      <c r="F5" s="88">
        <f t="shared" si="0"/>
        <v>0</v>
      </c>
      <c r="G5" s="88">
        <f t="shared" si="0"/>
        <v>7752.900000000001</v>
      </c>
      <c r="H5" s="158">
        <f t="shared" si="0"/>
        <v>8956.4</v>
      </c>
      <c r="I5" s="89">
        <f>IF(E5&gt;0,H5/E5,0)</f>
        <v>1.039031669444912</v>
      </c>
      <c r="J5" s="89">
        <f>IF(F5&gt;0,H5/F5,0)</f>
        <v>0</v>
      </c>
      <c r="K5" s="88">
        <f>K6+K15+K17+K22+K10</f>
        <v>8006.000000000001</v>
      </c>
      <c r="L5" s="89">
        <f aca="true" t="shared" si="1" ref="L5:L47">IF(K5&gt;0,H5/K5,0)</f>
        <v>1.1187109667749187</v>
      </c>
      <c r="M5" s="88">
        <f>M6+M15+M17+M22+M10</f>
        <v>1203.5</v>
      </c>
      <c r="N5" s="88">
        <f>N6+N15+N17+N22+N10</f>
        <v>1180</v>
      </c>
      <c r="O5" s="89">
        <f aca="true" t="shared" si="2" ref="O5:O21">IF(N5&gt;0,M5/N5,0)</f>
        <v>1.0199152542372882</v>
      </c>
      <c r="P5" s="88">
        <f>P6+P15+P17+P22+P10</f>
        <v>469</v>
      </c>
      <c r="Q5" s="88">
        <f>Q6+Q15+Q17+Q22+Q10</f>
        <v>185.2</v>
      </c>
      <c r="R5" s="88">
        <f>R6+R15+R17+R22+R10</f>
        <v>364.7</v>
      </c>
      <c r="S5" s="4"/>
      <c r="T5" s="4"/>
      <c r="U5" s="4"/>
    </row>
    <row r="6" spans="1:22" ht="18" customHeight="1">
      <c r="A6" s="9" t="s">
        <v>62</v>
      </c>
      <c r="B6" s="52">
        <v>1010200001</v>
      </c>
      <c r="C6" s="71">
        <f aca="true" t="shared" si="3" ref="C6:H6">C7+C8+C9</f>
        <v>5122</v>
      </c>
      <c r="D6" s="71">
        <f t="shared" si="3"/>
        <v>198.845</v>
      </c>
      <c r="E6" s="71">
        <f t="shared" si="3"/>
        <v>5320.845</v>
      </c>
      <c r="F6" s="71">
        <f t="shared" si="3"/>
        <v>0</v>
      </c>
      <c r="G6" s="71">
        <f t="shared" si="3"/>
        <v>4815.6</v>
      </c>
      <c r="H6" s="71">
        <f t="shared" si="3"/>
        <v>5589.6</v>
      </c>
      <c r="I6" s="86">
        <f aca="true" t="shared" si="4" ref="I6:I47">IF(E6&gt;0,H6/E6,0)</f>
        <v>1.0505098344341923</v>
      </c>
      <c r="J6" s="86">
        <f>IF(F6&gt;0,H6/F6,0)</f>
        <v>0</v>
      </c>
      <c r="K6" s="71">
        <f>K7+K8+K9</f>
        <v>5011.500000000001</v>
      </c>
      <c r="L6" s="86">
        <f t="shared" si="1"/>
        <v>1.1153546842262794</v>
      </c>
      <c r="M6" s="71">
        <f>M7+M8+M9</f>
        <v>774</v>
      </c>
      <c r="N6" s="71">
        <f>N7+N8+N9</f>
        <v>662</v>
      </c>
      <c r="O6" s="86">
        <f t="shared" si="2"/>
        <v>1.1691842900302114</v>
      </c>
      <c r="P6" s="71">
        <f>P7+P8+P9</f>
        <v>7.5</v>
      </c>
      <c r="Q6" s="71">
        <f>Q7+Q8+Q9</f>
        <v>1.5</v>
      </c>
      <c r="R6" s="71">
        <f>R7+R8+R9</f>
        <v>2.4</v>
      </c>
      <c r="V6" s="162"/>
    </row>
    <row r="7" spans="1:22" ht="18">
      <c r="A7" s="10" t="s">
        <v>43</v>
      </c>
      <c r="B7" s="13">
        <v>1010201001</v>
      </c>
      <c r="C7" s="70">
        <v>5083</v>
      </c>
      <c r="D7" s="82">
        <v>198.845</v>
      </c>
      <c r="E7" s="70">
        <f>C7+D7</f>
        <v>5281.845</v>
      </c>
      <c r="F7" s="70"/>
      <c r="G7" s="67">
        <v>4752.1</v>
      </c>
      <c r="H7" s="67">
        <f>G7+M7</f>
        <v>5526.200000000001</v>
      </c>
      <c r="I7" s="76">
        <f t="shared" si="4"/>
        <v>1.0462631902299293</v>
      </c>
      <c r="J7" s="76">
        <f aca="true" t="shared" si="5" ref="J7:J47">IF(F7&gt;0,H7/F7,0)</f>
        <v>0</v>
      </c>
      <c r="K7" s="67">
        <v>4969.6</v>
      </c>
      <c r="L7" s="76">
        <f t="shared" si="1"/>
        <v>1.112000965872505</v>
      </c>
      <c r="M7" s="67">
        <v>774.1</v>
      </c>
      <c r="N7" s="67">
        <v>660.5</v>
      </c>
      <c r="O7" s="76">
        <f t="shared" si="2"/>
        <v>1.171990915972748</v>
      </c>
      <c r="P7" s="70"/>
      <c r="Q7" s="70">
        <v>0.4</v>
      </c>
      <c r="R7" s="70">
        <v>0.4</v>
      </c>
      <c r="V7" s="162"/>
    </row>
    <row r="8" spans="1:22" ht="18">
      <c r="A8" s="10" t="s">
        <v>42</v>
      </c>
      <c r="B8" s="13">
        <v>1010202001</v>
      </c>
      <c r="C8" s="70">
        <v>18</v>
      </c>
      <c r="D8" s="67"/>
      <c r="E8" s="70">
        <f>C8+D8</f>
        <v>18</v>
      </c>
      <c r="F8" s="70"/>
      <c r="G8" s="70">
        <v>21.5</v>
      </c>
      <c r="H8" s="67">
        <f>G8+M8</f>
        <v>21.5</v>
      </c>
      <c r="I8" s="76">
        <f t="shared" si="4"/>
        <v>1.1944444444444444</v>
      </c>
      <c r="J8" s="76">
        <f t="shared" si="5"/>
        <v>0</v>
      </c>
      <c r="K8" s="70">
        <v>20.8</v>
      </c>
      <c r="L8" s="76">
        <f t="shared" si="1"/>
        <v>1.033653846153846</v>
      </c>
      <c r="M8" s="70"/>
      <c r="N8" s="70"/>
      <c r="O8" s="76">
        <f>IF(N8&gt;0,M8/N8,0)</f>
        <v>0</v>
      </c>
      <c r="P8" s="70"/>
      <c r="Q8" s="70"/>
      <c r="R8" s="70"/>
      <c r="V8" s="162"/>
    </row>
    <row r="9" spans="1:22" ht="18">
      <c r="A9" s="10" t="s">
        <v>41</v>
      </c>
      <c r="B9" s="13">
        <v>1010203001</v>
      </c>
      <c r="C9" s="70">
        <v>21</v>
      </c>
      <c r="D9" s="70"/>
      <c r="E9" s="70">
        <f>C9+D9</f>
        <v>21</v>
      </c>
      <c r="F9" s="70"/>
      <c r="G9" s="70">
        <v>42</v>
      </c>
      <c r="H9" s="67">
        <f>G9+M9</f>
        <v>41.9</v>
      </c>
      <c r="I9" s="76">
        <f t="shared" si="4"/>
        <v>1.9952380952380953</v>
      </c>
      <c r="J9" s="76">
        <f t="shared" si="5"/>
        <v>0</v>
      </c>
      <c r="K9" s="70">
        <v>21.1</v>
      </c>
      <c r="L9" s="76">
        <f t="shared" si="1"/>
        <v>1.9857819905213268</v>
      </c>
      <c r="M9" s="70">
        <v>-0.1</v>
      </c>
      <c r="N9" s="70">
        <v>1.5</v>
      </c>
      <c r="O9" s="76">
        <f t="shared" si="2"/>
        <v>-0.06666666666666667</v>
      </c>
      <c r="P9" s="70">
        <v>7.5</v>
      </c>
      <c r="Q9" s="70">
        <v>1.1</v>
      </c>
      <c r="R9" s="70">
        <v>2</v>
      </c>
      <c r="V9" s="162"/>
    </row>
    <row r="10" spans="1:22" ht="20.25" customHeight="1">
      <c r="A10" s="11" t="s">
        <v>47</v>
      </c>
      <c r="B10" s="19">
        <v>1030200001</v>
      </c>
      <c r="C10" s="71">
        <f aca="true" t="shared" si="6" ref="C10:H10">SUM(C11:C14)</f>
        <v>1413.727</v>
      </c>
      <c r="D10" s="71">
        <f t="shared" si="6"/>
        <v>0.37700000000000244</v>
      </c>
      <c r="E10" s="71">
        <f t="shared" si="6"/>
        <v>1414.104</v>
      </c>
      <c r="F10" s="71">
        <f t="shared" si="6"/>
        <v>0</v>
      </c>
      <c r="G10" s="71">
        <f>G11+G12+G13+G14</f>
        <v>1311.3</v>
      </c>
      <c r="H10" s="71">
        <f t="shared" si="6"/>
        <v>1439</v>
      </c>
      <c r="I10" s="86">
        <f>IF(E10&gt;0,H10/E10,0)</f>
        <v>1.017605494362508</v>
      </c>
      <c r="J10" s="86">
        <f>IF(F10&gt;0,H10/F10,0)</f>
        <v>0</v>
      </c>
      <c r="K10" s="71">
        <f>K11+K12+K13+K14</f>
        <v>1263.2</v>
      </c>
      <c r="L10" s="86">
        <f t="shared" si="1"/>
        <v>1.139170360987967</v>
      </c>
      <c r="M10" s="71">
        <f>M11+M12+M13+M14</f>
        <v>127.69999999999999</v>
      </c>
      <c r="N10" s="71">
        <f>N11+N12+N13+N14</f>
        <v>103</v>
      </c>
      <c r="O10" s="86">
        <f t="shared" si="2"/>
        <v>1.2398058252427184</v>
      </c>
      <c r="P10" s="71">
        <f>SUM(P11:P14)</f>
        <v>0</v>
      </c>
      <c r="Q10" s="71">
        <f>SUM(Q11:Q14)</f>
        <v>0</v>
      </c>
      <c r="R10" s="71">
        <f>SUM(R11:R14)</f>
        <v>0</v>
      </c>
      <c r="V10" s="162"/>
    </row>
    <row r="11" spans="1:22" ht="18.75" customHeight="1">
      <c r="A11" s="12" t="s">
        <v>48</v>
      </c>
      <c r="B11" s="12">
        <v>1030223101</v>
      </c>
      <c r="C11" s="70">
        <v>649.133</v>
      </c>
      <c r="D11" s="82">
        <f>147.017-136.957</f>
        <v>10.060000000000002</v>
      </c>
      <c r="E11" s="80">
        <f>C11+D11</f>
        <v>659.193</v>
      </c>
      <c r="F11" s="66"/>
      <c r="G11" s="70">
        <v>601</v>
      </c>
      <c r="H11" s="68">
        <f>G11+M11</f>
        <v>664.3</v>
      </c>
      <c r="I11" s="69">
        <f>IF(E11&gt;0,H11/E11,0)</f>
        <v>1.0077473516860767</v>
      </c>
      <c r="J11" s="69">
        <f>IF(F11&gt;0,H11/F11,0)</f>
        <v>0</v>
      </c>
      <c r="K11" s="70">
        <v>582.6</v>
      </c>
      <c r="L11" s="69">
        <f t="shared" si="1"/>
        <v>1.140233436319945</v>
      </c>
      <c r="M11" s="70">
        <v>63.3</v>
      </c>
      <c r="N11" s="70">
        <v>48.1</v>
      </c>
      <c r="O11" s="69">
        <f t="shared" si="2"/>
        <v>1.3160083160083158</v>
      </c>
      <c r="P11" s="70"/>
      <c r="Q11" s="70"/>
      <c r="R11" s="70"/>
      <c r="V11" s="162"/>
    </row>
    <row r="12" spans="1:22" ht="18" customHeight="1">
      <c r="A12" s="12" t="s">
        <v>49</v>
      </c>
      <c r="B12" s="12">
        <v>1030224101</v>
      </c>
      <c r="C12" s="70">
        <v>3.699</v>
      </c>
      <c r="D12" s="70">
        <v>0.5</v>
      </c>
      <c r="E12" s="80">
        <f>C12+D12</f>
        <v>4.199</v>
      </c>
      <c r="F12" s="66"/>
      <c r="G12" s="70">
        <v>4.3</v>
      </c>
      <c r="H12" s="68">
        <f>G12+M12</f>
        <v>4.7</v>
      </c>
      <c r="I12" s="69">
        <f>IF(E12&gt;0,H12/E12,0)</f>
        <v>1.1193141224100978</v>
      </c>
      <c r="J12" s="69">
        <f>IF(F12&gt;0,H12/F12,0)</f>
        <v>0</v>
      </c>
      <c r="K12" s="70">
        <v>4.1</v>
      </c>
      <c r="L12" s="69">
        <f t="shared" si="1"/>
        <v>1.1463414634146343</v>
      </c>
      <c r="M12" s="70">
        <v>0.4</v>
      </c>
      <c r="N12" s="70">
        <v>0.3</v>
      </c>
      <c r="O12" s="69">
        <f t="shared" si="2"/>
        <v>1.3333333333333335</v>
      </c>
      <c r="P12" s="70"/>
      <c r="Q12" s="70"/>
      <c r="R12" s="70"/>
      <c r="V12" s="162"/>
    </row>
    <row r="13" spans="1:22" ht="18.75" customHeight="1">
      <c r="A13" s="12" t="s">
        <v>50</v>
      </c>
      <c r="B13" s="12">
        <v>1030225101</v>
      </c>
      <c r="C13" s="70">
        <v>853.896</v>
      </c>
      <c r="D13" s="70"/>
      <c r="E13" s="80">
        <f>C13+D13</f>
        <v>853.896</v>
      </c>
      <c r="F13" s="66"/>
      <c r="G13" s="70">
        <v>807.8</v>
      </c>
      <c r="H13" s="68">
        <f>G13+M13</f>
        <v>883.3</v>
      </c>
      <c r="I13" s="69">
        <f>IF(E13&gt;0,H13/E13,0)</f>
        <v>1.03443510685142</v>
      </c>
      <c r="J13" s="69">
        <f>IF(F13&gt;0,H13/F13,0)</f>
        <v>0</v>
      </c>
      <c r="K13" s="70">
        <v>783.8</v>
      </c>
      <c r="L13" s="69">
        <f t="shared" si="1"/>
        <v>1.1269456494003574</v>
      </c>
      <c r="M13" s="70">
        <v>75.5</v>
      </c>
      <c r="N13" s="70">
        <v>65.7</v>
      </c>
      <c r="O13" s="69">
        <f t="shared" si="2"/>
        <v>1.1491628614916285</v>
      </c>
      <c r="P13" s="70"/>
      <c r="Q13" s="70"/>
      <c r="R13" s="70"/>
      <c r="V13" s="162"/>
    </row>
    <row r="14" spans="1:22" ht="18" customHeight="1">
      <c r="A14" s="12" t="s">
        <v>51</v>
      </c>
      <c r="B14" s="12">
        <v>1030226101</v>
      </c>
      <c r="C14" s="70">
        <v>-93.001</v>
      </c>
      <c r="D14" s="70">
        <v>-10.183</v>
      </c>
      <c r="E14" s="80">
        <f>C14+D14</f>
        <v>-103.184</v>
      </c>
      <c r="F14" s="66"/>
      <c r="G14" s="70">
        <v>-101.8</v>
      </c>
      <c r="H14" s="68">
        <f>G14+M14</f>
        <v>-113.3</v>
      </c>
      <c r="I14" s="69">
        <f>H14/E14</f>
        <v>1.0980384555745077</v>
      </c>
      <c r="J14" s="69">
        <f>IF(F14&gt;0,H14/F14,0)</f>
        <v>0</v>
      </c>
      <c r="K14" s="70">
        <v>-107.3</v>
      </c>
      <c r="L14" s="69">
        <f t="shared" si="1"/>
        <v>0</v>
      </c>
      <c r="M14" s="70">
        <v>-11.5</v>
      </c>
      <c r="N14" s="70">
        <v>-11.1</v>
      </c>
      <c r="O14" s="69">
        <f t="shared" si="2"/>
        <v>0</v>
      </c>
      <c r="P14" s="70"/>
      <c r="Q14" s="70"/>
      <c r="R14" s="70"/>
      <c r="V14" s="162"/>
    </row>
    <row r="15" spans="1:22" ht="18">
      <c r="A15" s="9" t="s">
        <v>69</v>
      </c>
      <c r="B15" s="29">
        <v>1050000000</v>
      </c>
      <c r="C15" s="71">
        <f aca="true" t="shared" si="7" ref="C15:H15">C16</f>
        <v>15</v>
      </c>
      <c r="D15" s="72">
        <f t="shared" si="7"/>
        <v>-15</v>
      </c>
      <c r="E15" s="72">
        <f t="shared" si="7"/>
        <v>0</v>
      </c>
      <c r="F15" s="72">
        <f t="shared" si="7"/>
        <v>0</v>
      </c>
      <c r="G15" s="71">
        <f>G16</f>
        <v>-0.3</v>
      </c>
      <c r="H15" s="72">
        <f t="shared" si="7"/>
        <v>-0.3</v>
      </c>
      <c r="I15" s="65">
        <f t="shared" si="4"/>
        <v>0</v>
      </c>
      <c r="J15" s="65">
        <f t="shared" si="5"/>
        <v>0</v>
      </c>
      <c r="K15" s="71">
        <f>K16</f>
        <v>32.1</v>
      </c>
      <c r="L15" s="65">
        <f t="shared" si="1"/>
        <v>-0.009345794392523364</v>
      </c>
      <c r="M15" s="71">
        <f>M16</f>
        <v>0</v>
      </c>
      <c r="N15" s="71">
        <f>N16</f>
        <v>0</v>
      </c>
      <c r="O15" s="65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  <c r="V15" s="162"/>
    </row>
    <row r="16" spans="1:22" ht="18">
      <c r="A16" s="13" t="s">
        <v>7</v>
      </c>
      <c r="B16" s="13">
        <v>1050300001</v>
      </c>
      <c r="C16" s="70">
        <v>15</v>
      </c>
      <c r="D16" s="82">
        <v>-15</v>
      </c>
      <c r="E16" s="66">
        <f>C16+D16</f>
        <v>0</v>
      </c>
      <c r="F16" s="66"/>
      <c r="G16" s="70">
        <v>-0.3</v>
      </c>
      <c r="H16" s="68">
        <f>G16+M16</f>
        <v>-0.3</v>
      </c>
      <c r="I16" s="69">
        <f t="shared" si="4"/>
        <v>0</v>
      </c>
      <c r="J16" s="69">
        <f t="shared" si="5"/>
        <v>0</v>
      </c>
      <c r="K16" s="70">
        <v>32.1</v>
      </c>
      <c r="L16" s="69">
        <f t="shared" si="1"/>
        <v>-0.009345794392523364</v>
      </c>
      <c r="M16" s="70"/>
      <c r="N16" s="70"/>
      <c r="O16" s="69">
        <f t="shared" si="2"/>
        <v>0</v>
      </c>
      <c r="P16" s="70"/>
      <c r="Q16" s="70"/>
      <c r="R16" s="70"/>
      <c r="V16" s="162"/>
    </row>
    <row r="17" spans="1:22" ht="18">
      <c r="A17" s="9" t="s">
        <v>70</v>
      </c>
      <c r="B17" s="29">
        <v>1060000000</v>
      </c>
      <c r="C17" s="71">
        <f aca="true" t="shared" si="8" ref="C17:H17">C18+C21</f>
        <v>1904</v>
      </c>
      <c r="D17" s="72">
        <f t="shared" si="8"/>
        <v>-19</v>
      </c>
      <c r="E17" s="126">
        <f t="shared" si="8"/>
        <v>1885</v>
      </c>
      <c r="F17" s="72">
        <f t="shared" si="8"/>
        <v>0</v>
      </c>
      <c r="G17" s="72">
        <f>G18+G21</f>
        <v>1626.3</v>
      </c>
      <c r="H17" s="72">
        <f t="shared" si="8"/>
        <v>1928.1</v>
      </c>
      <c r="I17" s="65">
        <f t="shared" si="4"/>
        <v>1.0228647214854112</v>
      </c>
      <c r="J17" s="65">
        <f t="shared" si="5"/>
        <v>0</v>
      </c>
      <c r="K17" s="72">
        <f>K18+K21</f>
        <v>1699.1999999999998</v>
      </c>
      <c r="L17" s="65">
        <f t="shared" si="1"/>
        <v>1.1347104519774012</v>
      </c>
      <c r="M17" s="72">
        <f>M18+M21</f>
        <v>301.79999999999995</v>
      </c>
      <c r="N17" s="72">
        <f>N18+N21</f>
        <v>415</v>
      </c>
      <c r="O17" s="65">
        <f t="shared" si="2"/>
        <v>0.7272289156626505</v>
      </c>
      <c r="P17" s="71">
        <f>P18+P21</f>
        <v>461.5</v>
      </c>
      <c r="Q17" s="71">
        <f>Q18+Q21</f>
        <v>183.7</v>
      </c>
      <c r="R17" s="71">
        <f>R18+R21</f>
        <v>362.3</v>
      </c>
      <c r="V17" s="162"/>
    </row>
    <row r="18" spans="1:22" ht="18">
      <c r="A18" s="13" t="s">
        <v>13</v>
      </c>
      <c r="B18" s="13">
        <v>1060600000</v>
      </c>
      <c r="C18" s="67">
        <f aca="true" t="shared" si="9" ref="C18:H18">C19+C20</f>
        <v>937</v>
      </c>
      <c r="D18" s="67">
        <f t="shared" si="9"/>
        <v>61</v>
      </c>
      <c r="E18" s="67">
        <f t="shared" si="9"/>
        <v>998</v>
      </c>
      <c r="F18" s="67">
        <f t="shared" si="9"/>
        <v>0</v>
      </c>
      <c r="G18" s="73">
        <f>G19+G20</f>
        <v>901.8</v>
      </c>
      <c r="H18" s="67">
        <f t="shared" si="9"/>
        <v>1015.9</v>
      </c>
      <c r="I18" s="69">
        <f t="shared" si="4"/>
        <v>1.017935871743487</v>
      </c>
      <c r="J18" s="69">
        <f t="shared" si="5"/>
        <v>0</v>
      </c>
      <c r="K18" s="73">
        <f>K19+K20</f>
        <v>904.3</v>
      </c>
      <c r="L18" s="69">
        <f t="shared" si="1"/>
        <v>1.123410372663939</v>
      </c>
      <c r="M18" s="73">
        <f>M19+M20</f>
        <v>114.1</v>
      </c>
      <c r="N18" s="73">
        <f>N19+N20</f>
        <v>196</v>
      </c>
      <c r="O18" s="69">
        <f t="shared" si="2"/>
        <v>0.5821428571428571</v>
      </c>
      <c r="P18" s="70">
        <f>P19+P20</f>
        <v>136.8</v>
      </c>
      <c r="Q18" s="70">
        <f>Q19+Q20</f>
        <v>78.8</v>
      </c>
      <c r="R18" s="70">
        <f>R19+R20</f>
        <v>130.4</v>
      </c>
      <c r="V18" s="162"/>
    </row>
    <row r="19" spans="1:22" ht="18">
      <c r="A19" s="13" t="s">
        <v>99</v>
      </c>
      <c r="B19" s="13">
        <v>1060603313</v>
      </c>
      <c r="C19" s="70">
        <v>268</v>
      </c>
      <c r="D19" s="67">
        <v>130</v>
      </c>
      <c r="E19" s="68">
        <f>C19+D19</f>
        <v>398</v>
      </c>
      <c r="F19" s="66"/>
      <c r="G19" s="70">
        <v>392.2</v>
      </c>
      <c r="H19" s="68">
        <f>G19+M19</f>
        <v>415.5</v>
      </c>
      <c r="I19" s="69">
        <f t="shared" si="4"/>
        <v>1.0439698492462313</v>
      </c>
      <c r="J19" s="69">
        <f t="shared" si="5"/>
        <v>0</v>
      </c>
      <c r="K19" s="70">
        <v>256.3</v>
      </c>
      <c r="L19" s="69">
        <f t="shared" si="1"/>
        <v>1.6211470932500975</v>
      </c>
      <c r="M19" s="70">
        <v>23.3</v>
      </c>
      <c r="N19" s="70">
        <v>2.5</v>
      </c>
      <c r="O19" s="69">
        <f t="shared" si="2"/>
        <v>9.32</v>
      </c>
      <c r="P19" s="70"/>
      <c r="Q19" s="70"/>
      <c r="R19" s="70"/>
      <c r="V19" s="162"/>
    </row>
    <row r="20" spans="1:22" ht="18">
      <c r="A20" s="13" t="s">
        <v>100</v>
      </c>
      <c r="B20" s="13">
        <v>1060604313</v>
      </c>
      <c r="C20" s="70">
        <v>669</v>
      </c>
      <c r="D20" s="67">
        <v>-69</v>
      </c>
      <c r="E20" s="66">
        <f>C20+D20</f>
        <v>600</v>
      </c>
      <c r="F20" s="66"/>
      <c r="G20" s="70">
        <v>509.6</v>
      </c>
      <c r="H20" s="68">
        <f>G20+M20</f>
        <v>600.4</v>
      </c>
      <c r="I20" s="69">
        <f t="shared" si="4"/>
        <v>1.0006666666666666</v>
      </c>
      <c r="J20" s="69">
        <f t="shared" si="5"/>
        <v>0</v>
      </c>
      <c r="K20" s="70">
        <v>648</v>
      </c>
      <c r="L20" s="69">
        <f t="shared" si="1"/>
        <v>0.9265432098765432</v>
      </c>
      <c r="M20" s="70">
        <v>90.8</v>
      </c>
      <c r="N20" s="70">
        <v>193.5</v>
      </c>
      <c r="O20" s="69">
        <f t="shared" si="2"/>
        <v>0.469250645994832</v>
      </c>
      <c r="P20" s="70">
        <v>136.8</v>
      </c>
      <c r="Q20" s="70">
        <v>78.8</v>
      </c>
      <c r="R20" s="70">
        <v>130.4</v>
      </c>
      <c r="V20" s="162"/>
    </row>
    <row r="21" spans="1:22" ht="18">
      <c r="A21" s="13" t="s">
        <v>12</v>
      </c>
      <c r="B21" s="13">
        <v>1060103013</v>
      </c>
      <c r="C21" s="70">
        <v>967</v>
      </c>
      <c r="D21" s="67">
        <v>-80</v>
      </c>
      <c r="E21" s="66">
        <f>C21+D21</f>
        <v>887</v>
      </c>
      <c r="F21" s="66"/>
      <c r="G21" s="70">
        <v>724.5</v>
      </c>
      <c r="H21" s="68">
        <f>G21+M21</f>
        <v>912.2</v>
      </c>
      <c r="I21" s="69">
        <f t="shared" si="4"/>
        <v>1.0284103720405864</v>
      </c>
      <c r="J21" s="69">
        <f t="shared" si="5"/>
        <v>0</v>
      </c>
      <c r="K21" s="70">
        <v>794.9</v>
      </c>
      <c r="L21" s="69">
        <f t="shared" si="1"/>
        <v>1.1475657315385583</v>
      </c>
      <c r="M21" s="70">
        <v>187.7</v>
      </c>
      <c r="N21" s="70">
        <v>219</v>
      </c>
      <c r="O21" s="69">
        <f t="shared" si="2"/>
        <v>0.8570776255707762</v>
      </c>
      <c r="P21" s="70">
        <v>324.7</v>
      </c>
      <c r="Q21" s="70">
        <v>104.9</v>
      </c>
      <c r="R21" s="70">
        <v>231.9</v>
      </c>
      <c r="V21" s="162"/>
    </row>
    <row r="22" spans="1:22" ht="1.5" customHeight="1">
      <c r="A22" s="9" t="s">
        <v>72</v>
      </c>
      <c r="B22" s="29">
        <v>1090405010</v>
      </c>
      <c r="C22" s="71"/>
      <c r="D22" s="72"/>
      <c r="E22" s="64">
        <f>C22+D22</f>
        <v>0</v>
      </c>
      <c r="F22" s="64"/>
      <c r="G22" s="71"/>
      <c r="H22" s="74">
        <f>G22+M22</f>
        <v>0</v>
      </c>
      <c r="I22" s="65">
        <f t="shared" si="4"/>
        <v>0</v>
      </c>
      <c r="J22" s="65">
        <f t="shared" si="5"/>
        <v>0</v>
      </c>
      <c r="K22" s="71"/>
      <c r="L22" s="65">
        <f t="shared" si="1"/>
        <v>0</v>
      </c>
      <c r="M22" s="71"/>
      <c r="N22" s="71"/>
      <c r="O22" s="65">
        <f aca="true" t="shared" si="10" ref="O22:O37">IF(N22&gt;0,M22/N22,0)</f>
        <v>0</v>
      </c>
      <c r="P22" s="71"/>
      <c r="Q22" s="71"/>
      <c r="R22" s="71"/>
      <c r="V22" s="162"/>
    </row>
    <row r="23" spans="1:22" ht="18">
      <c r="A23" s="14" t="s">
        <v>22</v>
      </c>
      <c r="B23" s="31"/>
      <c r="C23" s="75">
        <f>C24+C30+C33+C37+C38</f>
        <v>2192</v>
      </c>
      <c r="D23" s="75">
        <f>D24+D30+D33+D37+D38</f>
        <v>33.62299999999999</v>
      </c>
      <c r="E23" s="75">
        <f>E24+E32+E35+E38+E37+E34+E31+E36</f>
        <v>2225.623</v>
      </c>
      <c r="F23" s="75">
        <f>F24+F32+F35+F38+F37+F34+F31+F36</f>
        <v>0</v>
      </c>
      <c r="G23" s="75">
        <f>G24+G30+G33+G37+G38</f>
        <v>2173.8999999999996</v>
      </c>
      <c r="H23" s="75">
        <f>H24+H32+H35+H38+H37+H34+H31+H36</f>
        <v>2439.8</v>
      </c>
      <c r="I23" s="63">
        <f t="shared" si="4"/>
        <v>1.0962323807760794</v>
      </c>
      <c r="J23" s="63">
        <f t="shared" si="5"/>
        <v>0</v>
      </c>
      <c r="K23" s="75">
        <f>K24+K30+K33+K37+K38</f>
        <v>2035.8999999999999</v>
      </c>
      <c r="L23" s="63">
        <f t="shared" si="1"/>
        <v>1.1983889189056438</v>
      </c>
      <c r="M23" s="75">
        <f>M24+M30+M33+M37+M38</f>
        <v>265.9</v>
      </c>
      <c r="N23" s="75">
        <f>N24+N30+N33+N37+N38</f>
        <v>218.39999999999998</v>
      </c>
      <c r="O23" s="63">
        <f t="shared" si="10"/>
        <v>1.2174908424908426</v>
      </c>
      <c r="P23" s="75">
        <f>P24+P31+P34+P37+P36+P33</f>
        <v>153.5</v>
      </c>
      <c r="Q23" s="85">
        <f>Q24+Q31+Q34+Q37+Q36+Q33</f>
        <v>275.7</v>
      </c>
      <c r="R23" s="85">
        <f>R24+R31+R34+R37+R36+R33</f>
        <v>123</v>
      </c>
      <c r="V23" s="162"/>
    </row>
    <row r="24" spans="1:22" ht="18">
      <c r="A24" s="9" t="s">
        <v>73</v>
      </c>
      <c r="B24" s="29">
        <v>1110000000</v>
      </c>
      <c r="C24" s="71">
        <f aca="true" t="shared" si="11" ref="C24:H24">C25+C28+C29+C26+C27</f>
        <v>1936</v>
      </c>
      <c r="D24" s="71">
        <f t="shared" si="11"/>
        <v>-449.3</v>
      </c>
      <c r="E24" s="71">
        <f t="shared" si="11"/>
        <v>1486.7</v>
      </c>
      <c r="F24" s="71">
        <f t="shared" si="11"/>
        <v>0</v>
      </c>
      <c r="G24" s="71">
        <f>G25+G28+G29+G26+G27</f>
        <v>1367.1999999999998</v>
      </c>
      <c r="H24" s="71">
        <f t="shared" si="11"/>
        <v>1543.7000000000003</v>
      </c>
      <c r="I24" s="65">
        <f t="shared" si="4"/>
        <v>1.0383399475348087</v>
      </c>
      <c r="J24" s="65">
        <f t="shared" si="5"/>
        <v>0</v>
      </c>
      <c r="K24" s="71">
        <f>K25+K28+K29+K26+K27</f>
        <v>1880.8999999999999</v>
      </c>
      <c r="L24" s="65">
        <f t="shared" si="1"/>
        <v>0.82072412143123</v>
      </c>
      <c r="M24" s="71">
        <f>M25+M28+M29+M26+M27</f>
        <v>176.5</v>
      </c>
      <c r="N24" s="71">
        <f>N25+N28+N29+N26+N27</f>
        <v>218.2</v>
      </c>
      <c r="O24" s="65">
        <f t="shared" si="10"/>
        <v>0.808890925756187</v>
      </c>
      <c r="P24" s="71">
        <f>P25+P27+P28</f>
        <v>153.5</v>
      </c>
      <c r="Q24" s="72">
        <f>Q25+Q27+Q28</f>
        <v>275.7</v>
      </c>
      <c r="R24" s="72">
        <f>R25+R27+R28</f>
        <v>123</v>
      </c>
      <c r="V24" s="162"/>
    </row>
    <row r="25" spans="1:22" ht="18.75">
      <c r="A25" s="53" t="s">
        <v>96</v>
      </c>
      <c r="B25" s="13">
        <v>1110501313</v>
      </c>
      <c r="C25" s="70">
        <v>1150</v>
      </c>
      <c r="D25" s="67">
        <v>-450</v>
      </c>
      <c r="E25" s="66">
        <f aca="true" t="shared" si="12" ref="E25:E34">C25+D25</f>
        <v>700</v>
      </c>
      <c r="F25" s="66"/>
      <c r="G25" s="70">
        <v>650.1</v>
      </c>
      <c r="H25" s="68">
        <f aca="true" t="shared" si="13" ref="H25:H37">G25+M25</f>
        <v>736.6</v>
      </c>
      <c r="I25" s="69">
        <f t="shared" si="4"/>
        <v>1.0522857142857143</v>
      </c>
      <c r="J25" s="69">
        <f t="shared" si="5"/>
        <v>0</v>
      </c>
      <c r="K25" s="70">
        <v>1130.6</v>
      </c>
      <c r="L25" s="69">
        <f t="shared" si="1"/>
        <v>0.6515124712542014</v>
      </c>
      <c r="M25" s="70">
        <v>86.5</v>
      </c>
      <c r="N25" s="70">
        <v>162</v>
      </c>
      <c r="O25" s="69">
        <f t="shared" si="10"/>
        <v>0.5339506172839507</v>
      </c>
      <c r="P25" s="60">
        <v>92</v>
      </c>
      <c r="Q25" s="177">
        <v>275.7</v>
      </c>
      <c r="R25" s="177">
        <v>123</v>
      </c>
      <c r="V25" s="162"/>
    </row>
    <row r="26" spans="1:22" ht="18.75">
      <c r="A26" s="13" t="s">
        <v>97</v>
      </c>
      <c r="B26" s="13">
        <v>1110502513</v>
      </c>
      <c r="C26" s="70"/>
      <c r="D26" s="82">
        <v>18.7</v>
      </c>
      <c r="E26" s="66">
        <f t="shared" si="12"/>
        <v>18.7</v>
      </c>
      <c r="F26" s="66"/>
      <c r="G26" s="70">
        <v>5.1</v>
      </c>
      <c r="H26" s="68">
        <f>G26+M26</f>
        <v>18.7</v>
      </c>
      <c r="I26" s="69">
        <f>IF(E26&gt;0,H26/E26,0)</f>
        <v>1</v>
      </c>
      <c r="J26" s="69"/>
      <c r="K26" s="70">
        <v>27.1</v>
      </c>
      <c r="L26" s="69">
        <f t="shared" si="1"/>
        <v>0.6900369003690037</v>
      </c>
      <c r="M26" s="70">
        <v>13.6</v>
      </c>
      <c r="N26" s="70"/>
      <c r="O26" s="69">
        <f t="shared" si="10"/>
        <v>0</v>
      </c>
      <c r="P26" s="60"/>
      <c r="Q26" s="60"/>
      <c r="R26" s="60"/>
      <c r="V26" s="162"/>
    </row>
    <row r="27" spans="1:22" ht="18.75">
      <c r="A27" s="13" t="s">
        <v>109</v>
      </c>
      <c r="B27" s="13">
        <v>1110507513</v>
      </c>
      <c r="C27" s="70">
        <v>324</v>
      </c>
      <c r="D27" s="82"/>
      <c r="E27" s="66">
        <f t="shared" si="12"/>
        <v>324</v>
      </c>
      <c r="F27" s="66"/>
      <c r="G27" s="70">
        <v>299.3</v>
      </c>
      <c r="H27" s="68">
        <f>G27+M27</f>
        <v>328.6</v>
      </c>
      <c r="I27" s="69">
        <f>IF(E27&gt;0,H27/E27,0)</f>
        <v>1.0141975308641975</v>
      </c>
      <c r="J27" s="69"/>
      <c r="K27" s="70">
        <v>308</v>
      </c>
      <c r="L27" s="69"/>
      <c r="M27" s="70">
        <v>29.3</v>
      </c>
      <c r="N27" s="70">
        <v>25.7</v>
      </c>
      <c r="O27" s="69"/>
      <c r="P27" s="60"/>
      <c r="Q27" s="60"/>
      <c r="R27" s="60"/>
      <c r="V27" s="162"/>
    </row>
    <row r="28" spans="1:22" ht="18">
      <c r="A28" s="13" t="s">
        <v>23</v>
      </c>
      <c r="B28" s="13">
        <v>1110904513</v>
      </c>
      <c r="C28" s="70">
        <v>462</v>
      </c>
      <c r="D28" s="82">
        <v>-18</v>
      </c>
      <c r="E28" s="66">
        <f t="shared" si="12"/>
        <v>444</v>
      </c>
      <c r="F28" s="66"/>
      <c r="G28" s="70">
        <v>412.7</v>
      </c>
      <c r="H28" s="68">
        <f t="shared" si="13"/>
        <v>459.8</v>
      </c>
      <c r="I28" s="69">
        <f t="shared" si="4"/>
        <v>1.0355855855855856</v>
      </c>
      <c r="J28" s="69">
        <f t="shared" si="5"/>
        <v>0</v>
      </c>
      <c r="K28" s="70">
        <v>415.2</v>
      </c>
      <c r="L28" s="69">
        <f t="shared" si="1"/>
        <v>1.107418111753372</v>
      </c>
      <c r="M28" s="70">
        <v>47.1</v>
      </c>
      <c r="N28" s="70">
        <v>30.5</v>
      </c>
      <c r="O28" s="69">
        <f t="shared" si="10"/>
        <v>1.5442622950819673</v>
      </c>
      <c r="P28" s="70">
        <v>61.5</v>
      </c>
      <c r="Q28" s="70"/>
      <c r="R28" s="70"/>
      <c r="V28" s="162"/>
    </row>
    <row r="29" spans="1:22" ht="10.5" customHeight="1" hidden="1">
      <c r="A29" s="30" t="s">
        <v>18</v>
      </c>
      <c r="B29" s="13">
        <v>1110903513</v>
      </c>
      <c r="C29" s="70"/>
      <c r="D29" s="70"/>
      <c r="E29" s="66">
        <f t="shared" si="12"/>
        <v>0</v>
      </c>
      <c r="F29" s="66"/>
      <c r="G29" s="70"/>
      <c r="H29" s="68">
        <f t="shared" si="13"/>
        <v>0</v>
      </c>
      <c r="I29" s="69">
        <f t="shared" si="4"/>
        <v>0</v>
      </c>
      <c r="J29" s="69">
        <f t="shared" si="5"/>
        <v>0</v>
      </c>
      <c r="K29" s="70"/>
      <c r="L29" s="69">
        <f t="shared" si="1"/>
        <v>0</v>
      </c>
      <c r="M29" s="70"/>
      <c r="N29" s="70"/>
      <c r="O29" s="69">
        <f t="shared" si="10"/>
        <v>0</v>
      </c>
      <c r="P29" s="70"/>
      <c r="Q29" s="70"/>
      <c r="R29" s="70"/>
      <c r="V29" s="162"/>
    </row>
    <row r="30" spans="1:22" ht="18.75">
      <c r="A30" s="143" t="s">
        <v>65</v>
      </c>
      <c r="B30" s="145">
        <v>1130000000</v>
      </c>
      <c r="C30" s="130">
        <f>C31+C32</f>
        <v>0</v>
      </c>
      <c r="D30" s="130">
        <f>D31+D32</f>
        <v>3.6</v>
      </c>
      <c r="E30" s="131">
        <f>C30+D30</f>
        <v>3.6</v>
      </c>
      <c r="F30" s="131"/>
      <c r="G30" s="130">
        <f>G31+G32</f>
        <v>3.7</v>
      </c>
      <c r="H30" s="144">
        <f t="shared" si="13"/>
        <v>5.5</v>
      </c>
      <c r="I30" s="132">
        <f t="shared" si="4"/>
        <v>1.5277777777777777</v>
      </c>
      <c r="J30" s="132"/>
      <c r="K30" s="130">
        <f>K31+K32</f>
        <v>28.1</v>
      </c>
      <c r="L30" s="132">
        <f t="shared" si="1"/>
        <v>0.19572953736654802</v>
      </c>
      <c r="M30" s="130">
        <f>M31+M32</f>
        <v>1.8</v>
      </c>
      <c r="N30" s="130">
        <f>N31+N32</f>
        <v>0</v>
      </c>
      <c r="O30" s="132">
        <f t="shared" si="10"/>
        <v>0</v>
      </c>
      <c r="P30" s="130">
        <f>P31+P32</f>
        <v>0</v>
      </c>
      <c r="Q30" s="130">
        <f>Q31+Q32</f>
        <v>0</v>
      </c>
      <c r="R30" s="130">
        <f>R31+R32</f>
        <v>0</v>
      </c>
      <c r="V30" s="162"/>
    </row>
    <row r="31" spans="1:22" ht="18">
      <c r="A31" s="44" t="s">
        <v>102</v>
      </c>
      <c r="B31" s="15">
        <v>1130206513</v>
      </c>
      <c r="C31" s="139"/>
      <c r="D31" s="139"/>
      <c r="E31" s="140">
        <f t="shared" si="12"/>
        <v>0</v>
      </c>
      <c r="F31" s="140"/>
      <c r="G31" s="139"/>
      <c r="H31" s="141">
        <f t="shared" si="13"/>
        <v>1.8</v>
      </c>
      <c r="I31" s="142">
        <f t="shared" si="4"/>
        <v>0</v>
      </c>
      <c r="J31" s="142"/>
      <c r="K31" s="139"/>
      <c r="L31" s="142">
        <f t="shared" si="1"/>
        <v>0</v>
      </c>
      <c r="M31" s="139">
        <v>1.8</v>
      </c>
      <c r="N31" s="139"/>
      <c r="O31" s="142">
        <f t="shared" si="10"/>
        <v>0</v>
      </c>
      <c r="P31" s="139"/>
      <c r="Q31" s="139"/>
      <c r="R31" s="139"/>
      <c r="V31" s="162"/>
    </row>
    <row r="32" spans="1:22" ht="18">
      <c r="A32" s="15" t="s">
        <v>38</v>
      </c>
      <c r="B32" s="15">
        <v>1130299513</v>
      </c>
      <c r="C32" s="139"/>
      <c r="D32" s="139">
        <v>3.6</v>
      </c>
      <c r="E32" s="140">
        <f t="shared" si="12"/>
        <v>3.6</v>
      </c>
      <c r="F32" s="140"/>
      <c r="G32" s="139">
        <v>3.7</v>
      </c>
      <c r="H32" s="141">
        <f t="shared" si="13"/>
        <v>3.7</v>
      </c>
      <c r="I32" s="142">
        <f t="shared" si="4"/>
        <v>1.027777777777778</v>
      </c>
      <c r="J32" s="142">
        <f t="shared" si="5"/>
        <v>0</v>
      </c>
      <c r="K32" s="139">
        <v>28.1</v>
      </c>
      <c r="L32" s="142">
        <f t="shared" si="1"/>
        <v>0.13167259786476868</v>
      </c>
      <c r="M32" s="139"/>
      <c r="N32" s="139"/>
      <c r="O32" s="142">
        <f t="shared" si="10"/>
        <v>0</v>
      </c>
      <c r="P32" s="139"/>
      <c r="Q32" s="139"/>
      <c r="R32" s="139"/>
      <c r="V32" s="162"/>
    </row>
    <row r="33" spans="1:22" ht="18.75">
      <c r="A33" s="143" t="s">
        <v>66</v>
      </c>
      <c r="B33" s="145">
        <v>1140000000</v>
      </c>
      <c r="C33" s="148">
        <f>C34+C35+C36</f>
        <v>250</v>
      </c>
      <c r="D33" s="148">
        <f>D34+D35+D36</f>
        <v>473.323</v>
      </c>
      <c r="E33" s="131">
        <f t="shared" si="12"/>
        <v>723.323</v>
      </c>
      <c r="F33" s="131"/>
      <c r="G33" s="148">
        <f>G34+G35+G36</f>
        <v>791.3</v>
      </c>
      <c r="H33" s="144">
        <f t="shared" si="13"/>
        <v>878.4</v>
      </c>
      <c r="I33" s="132">
        <f>IF(E33&gt;0,H33/E33,0)</f>
        <v>1.2143952286875987</v>
      </c>
      <c r="J33" s="132"/>
      <c r="K33" s="148">
        <f>K34+K35+K36</f>
        <v>125.9</v>
      </c>
      <c r="L33" s="132">
        <f>IF(K33&gt;0,H33/K33,0)</f>
        <v>6.976965845909452</v>
      </c>
      <c r="M33" s="148">
        <f>M34+M35+M36</f>
        <v>87.1</v>
      </c>
      <c r="N33" s="148">
        <f>N34+N35+N36</f>
        <v>0.1</v>
      </c>
      <c r="O33" s="132">
        <f t="shared" si="10"/>
        <v>870.9999999999999</v>
      </c>
      <c r="P33" s="148">
        <f>P34+P35+P36</f>
        <v>0</v>
      </c>
      <c r="Q33" s="148">
        <f>Q34+Q35+Q36</f>
        <v>0</v>
      </c>
      <c r="R33" s="148">
        <f>R34+R35+R36</f>
        <v>0</v>
      </c>
      <c r="V33" s="162"/>
    </row>
    <row r="34" spans="1:22" ht="18">
      <c r="A34" s="15" t="s">
        <v>74</v>
      </c>
      <c r="B34" s="15">
        <v>1140205313</v>
      </c>
      <c r="C34" s="139">
        <v>100</v>
      </c>
      <c r="D34" s="139">
        <f>-47.017-52.983</f>
        <v>-100</v>
      </c>
      <c r="E34" s="140">
        <f t="shared" si="12"/>
        <v>0</v>
      </c>
      <c r="F34" s="140"/>
      <c r="G34" s="139"/>
      <c r="H34" s="141">
        <f t="shared" si="13"/>
        <v>0</v>
      </c>
      <c r="I34" s="142">
        <f>IF(E34&gt;0,H34/E34,0)</f>
        <v>0</v>
      </c>
      <c r="J34" s="142">
        <f>IF(F34&gt;0,H34/F34,0)</f>
        <v>0</v>
      </c>
      <c r="K34" s="139">
        <v>104.5</v>
      </c>
      <c r="L34" s="142">
        <f>IF(K34&gt;0,H34/K34,0)</f>
        <v>0</v>
      </c>
      <c r="M34" s="139"/>
      <c r="N34" s="139"/>
      <c r="O34" s="142">
        <f t="shared" si="10"/>
        <v>0</v>
      </c>
      <c r="P34" s="139"/>
      <c r="Q34" s="139"/>
      <c r="R34" s="139"/>
      <c r="V34" s="162"/>
    </row>
    <row r="35" spans="1:22" ht="18">
      <c r="A35" s="15" t="s">
        <v>103</v>
      </c>
      <c r="B35" s="15">
        <v>1140601313</v>
      </c>
      <c r="C35" s="139">
        <v>150</v>
      </c>
      <c r="D35" s="139">
        <f>-100+651.323</f>
        <v>551.323</v>
      </c>
      <c r="E35" s="141">
        <f>C35+D35</f>
        <v>701.323</v>
      </c>
      <c r="F35" s="141"/>
      <c r="G35" s="139">
        <v>791.3</v>
      </c>
      <c r="H35" s="141">
        <f t="shared" si="13"/>
        <v>856.4</v>
      </c>
      <c r="I35" s="142">
        <f t="shared" si="4"/>
        <v>1.2211206533936574</v>
      </c>
      <c r="J35" s="142">
        <f t="shared" si="5"/>
        <v>0</v>
      </c>
      <c r="K35" s="139">
        <v>21.4</v>
      </c>
      <c r="L35" s="142">
        <f t="shared" si="1"/>
        <v>40.018691588785046</v>
      </c>
      <c r="M35" s="139">
        <v>65.1</v>
      </c>
      <c r="N35" s="139">
        <v>0.1</v>
      </c>
      <c r="O35" s="142">
        <f t="shared" si="10"/>
        <v>650.9999999999999</v>
      </c>
      <c r="P35" s="139"/>
      <c r="Q35" s="139"/>
      <c r="R35" s="139"/>
      <c r="V35" s="162"/>
    </row>
    <row r="36" spans="1:22" ht="18">
      <c r="A36" s="15" t="s">
        <v>104</v>
      </c>
      <c r="B36" s="147">
        <v>1140602513</v>
      </c>
      <c r="C36" s="146"/>
      <c r="D36" s="139">
        <v>22</v>
      </c>
      <c r="E36" s="141">
        <f>C36+D36</f>
        <v>22</v>
      </c>
      <c r="F36" s="141"/>
      <c r="G36" s="139"/>
      <c r="H36" s="141">
        <f t="shared" si="13"/>
        <v>22</v>
      </c>
      <c r="I36" s="142">
        <f t="shared" si="4"/>
        <v>1</v>
      </c>
      <c r="J36" s="142">
        <f t="shared" si="5"/>
        <v>0</v>
      </c>
      <c r="K36" s="139"/>
      <c r="L36" s="142">
        <f t="shared" si="1"/>
        <v>0</v>
      </c>
      <c r="M36" s="139">
        <v>22</v>
      </c>
      <c r="N36" s="139"/>
      <c r="O36" s="142">
        <f t="shared" si="10"/>
        <v>0</v>
      </c>
      <c r="P36" s="139"/>
      <c r="Q36" s="139"/>
      <c r="R36" s="139"/>
      <c r="V36" s="162"/>
    </row>
    <row r="37" spans="1:22" ht="18">
      <c r="A37" s="9" t="s">
        <v>76</v>
      </c>
      <c r="B37" s="54">
        <v>1160000000</v>
      </c>
      <c r="C37" s="71">
        <v>6</v>
      </c>
      <c r="D37" s="71">
        <v>6</v>
      </c>
      <c r="E37" s="84">
        <f>C37+D37</f>
        <v>12</v>
      </c>
      <c r="F37" s="74"/>
      <c r="G37" s="71">
        <v>11.7</v>
      </c>
      <c r="H37" s="74">
        <f t="shared" si="13"/>
        <v>12.2</v>
      </c>
      <c r="I37" s="65">
        <f t="shared" si="4"/>
        <v>1.0166666666666666</v>
      </c>
      <c r="J37" s="65">
        <f t="shared" si="5"/>
        <v>0</v>
      </c>
      <c r="K37" s="71">
        <v>1</v>
      </c>
      <c r="L37" s="65">
        <f t="shared" si="1"/>
        <v>12.2</v>
      </c>
      <c r="M37" s="71">
        <v>0.5</v>
      </c>
      <c r="N37" s="71">
        <v>0.1</v>
      </c>
      <c r="O37" s="65">
        <f t="shared" si="10"/>
        <v>5</v>
      </c>
      <c r="P37" s="71"/>
      <c r="Q37" s="71"/>
      <c r="R37" s="71"/>
      <c r="V37" s="162"/>
    </row>
    <row r="38" spans="1:22" ht="18">
      <c r="A38" s="9" t="s">
        <v>68</v>
      </c>
      <c r="B38" s="29">
        <v>1170000000</v>
      </c>
      <c r="C38" s="71">
        <f>SUM(C39:C40)</f>
        <v>0</v>
      </c>
      <c r="D38" s="71">
        <f aca="true" t="shared" si="14" ref="D38:R38">SUM(D39:D40)</f>
        <v>0</v>
      </c>
      <c r="E38" s="71">
        <f t="shared" si="14"/>
        <v>0</v>
      </c>
      <c r="F38" s="71">
        <f t="shared" si="14"/>
        <v>0</v>
      </c>
      <c r="G38" s="71">
        <f>SUM(G39:G40)</f>
        <v>0</v>
      </c>
      <c r="H38" s="71">
        <f t="shared" si="14"/>
        <v>0</v>
      </c>
      <c r="I38" s="65">
        <f t="shared" si="4"/>
        <v>0</v>
      </c>
      <c r="J38" s="65">
        <f t="shared" si="5"/>
        <v>0</v>
      </c>
      <c r="K38" s="71">
        <f>SUM(K39:K40)</f>
        <v>0</v>
      </c>
      <c r="L38" s="65">
        <f t="shared" si="1"/>
        <v>0</v>
      </c>
      <c r="M38" s="71">
        <f>SUM(M39:M40)</f>
        <v>0</v>
      </c>
      <c r="N38" s="71">
        <f>SUM(N39:N40)</f>
        <v>0</v>
      </c>
      <c r="O38" s="71">
        <f t="shared" si="14"/>
        <v>0</v>
      </c>
      <c r="P38" s="71">
        <f t="shared" si="14"/>
        <v>0</v>
      </c>
      <c r="Q38" s="71">
        <f>SUM(Q39:Q40)</f>
        <v>0</v>
      </c>
      <c r="R38" s="71">
        <f t="shared" si="14"/>
        <v>0</v>
      </c>
      <c r="V38" s="162"/>
    </row>
    <row r="39" spans="1:22" ht="18">
      <c r="A39" s="13" t="s">
        <v>8</v>
      </c>
      <c r="B39" s="13">
        <v>1170103003</v>
      </c>
      <c r="C39" s="70"/>
      <c r="D39" s="70"/>
      <c r="E39" s="66">
        <f>C39+D39</f>
        <v>0</v>
      </c>
      <c r="F39" s="66"/>
      <c r="G39" s="70"/>
      <c r="H39" s="67">
        <f>G39+M39</f>
        <v>0</v>
      </c>
      <c r="I39" s="69">
        <f t="shared" si="4"/>
        <v>0</v>
      </c>
      <c r="J39" s="69">
        <f t="shared" si="5"/>
        <v>0</v>
      </c>
      <c r="K39" s="70"/>
      <c r="L39" s="69">
        <f t="shared" si="1"/>
        <v>0</v>
      </c>
      <c r="M39" s="70"/>
      <c r="N39" s="70"/>
      <c r="O39" s="69">
        <f aca="true" t="shared" si="15" ref="O39:O47">IF(N39&gt;0,M39/N39,0)</f>
        <v>0</v>
      </c>
      <c r="P39" s="76"/>
      <c r="Q39" s="76"/>
      <c r="R39" s="76"/>
      <c r="V39" s="162"/>
    </row>
    <row r="40" spans="1:22" ht="18">
      <c r="A40" s="13" t="s">
        <v>33</v>
      </c>
      <c r="B40" s="13">
        <v>1170505013</v>
      </c>
      <c r="C40" s="70"/>
      <c r="D40" s="67"/>
      <c r="E40" s="66">
        <f>C40+D40</f>
        <v>0</v>
      </c>
      <c r="F40" s="66"/>
      <c r="G40" s="70"/>
      <c r="H40" s="68">
        <f>G40+M40</f>
        <v>0</v>
      </c>
      <c r="I40" s="69">
        <f>IF(E40&gt;0,H40/E40,0)</f>
        <v>0</v>
      </c>
      <c r="J40" s="69">
        <f>IF(F40&gt;0,H40/F40,0)</f>
        <v>0</v>
      </c>
      <c r="K40" s="70"/>
      <c r="L40" s="69">
        <f>IF(K40&gt;0,H40/K40,0)</f>
        <v>0</v>
      </c>
      <c r="M40" s="70"/>
      <c r="N40" s="70"/>
      <c r="O40" s="69">
        <f t="shared" si="15"/>
        <v>0</v>
      </c>
      <c r="P40" s="70"/>
      <c r="Q40" s="70"/>
      <c r="R40" s="70"/>
      <c r="V40" s="162"/>
    </row>
    <row r="41" spans="1:22" ht="18">
      <c r="A41" s="9" t="s">
        <v>6</v>
      </c>
      <c r="B41" s="9">
        <v>1000000000</v>
      </c>
      <c r="C41" s="77">
        <f aca="true" t="shared" si="16" ref="C41:H41">C5+C23</f>
        <v>10646.727</v>
      </c>
      <c r="D41" s="77">
        <f t="shared" si="16"/>
        <v>198.845</v>
      </c>
      <c r="E41" s="77">
        <f t="shared" si="16"/>
        <v>10845.572</v>
      </c>
      <c r="F41" s="78">
        <f t="shared" si="16"/>
        <v>0</v>
      </c>
      <c r="G41" s="78">
        <f>G5+G23</f>
        <v>9926.8</v>
      </c>
      <c r="H41" s="78">
        <f t="shared" si="16"/>
        <v>11396.2</v>
      </c>
      <c r="I41" s="79">
        <f t="shared" si="4"/>
        <v>1.0507698441354685</v>
      </c>
      <c r="J41" s="79">
        <f t="shared" si="5"/>
        <v>0</v>
      </c>
      <c r="K41" s="78">
        <f>K5+K23</f>
        <v>10041.900000000001</v>
      </c>
      <c r="L41" s="79">
        <f t="shared" si="1"/>
        <v>1.1348649160019517</v>
      </c>
      <c r="M41" s="78">
        <f>M5+M23</f>
        <v>1469.4</v>
      </c>
      <c r="N41" s="78">
        <f>N5+N23</f>
        <v>1398.4</v>
      </c>
      <c r="O41" s="79">
        <f t="shared" si="15"/>
        <v>1.0507723112128147</v>
      </c>
      <c r="P41" s="78">
        <f>P5+P23</f>
        <v>622.5</v>
      </c>
      <c r="Q41" s="78">
        <f>Q5+Q23</f>
        <v>460.9</v>
      </c>
      <c r="R41" s="122">
        <f>R5+R23</f>
        <v>487.7</v>
      </c>
      <c r="V41" s="162"/>
    </row>
    <row r="42" spans="1:22" ht="18">
      <c r="A42" s="9" t="s">
        <v>91</v>
      </c>
      <c r="B42" s="9"/>
      <c r="C42" s="77">
        <f aca="true" t="shared" si="17" ref="C42:H42">C41-C10</f>
        <v>9233</v>
      </c>
      <c r="D42" s="77">
        <f t="shared" si="17"/>
        <v>198.468</v>
      </c>
      <c r="E42" s="77">
        <f t="shared" si="17"/>
        <v>9431.468</v>
      </c>
      <c r="F42" s="78">
        <f t="shared" si="17"/>
        <v>0</v>
      </c>
      <c r="G42" s="78">
        <f>G41-G10</f>
        <v>8615.5</v>
      </c>
      <c r="H42" s="78">
        <f t="shared" si="17"/>
        <v>9957.2</v>
      </c>
      <c r="I42" s="79">
        <f>IF(E42&gt;0,H42/E42,0)</f>
        <v>1.0557423298260673</v>
      </c>
      <c r="J42" s="79">
        <f>IF(F42&gt;0,H42/F42,0)</f>
        <v>0</v>
      </c>
      <c r="K42" s="78">
        <f>K41-K10</f>
        <v>8778.7</v>
      </c>
      <c r="L42" s="79">
        <f t="shared" si="1"/>
        <v>1.1342453894084545</v>
      </c>
      <c r="M42" s="78">
        <f>M41-M10</f>
        <v>1341.7</v>
      </c>
      <c r="N42" s="78">
        <f>N41-N10</f>
        <v>1295.4</v>
      </c>
      <c r="O42" s="79">
        <f t="shared" si="15"/>
        <v>1.035741855797437</v>
      </c>
      <c r="P42" s="78"/>
      <c r="Q42" s="78"/>
      <c r="R42" s="122"/>
      <c r="V42" s="162"/>
    </row>
    <row r="43" spans="1:22" ht="18">
      <c r="A43" s="13" t="s">
        <v>36</v>
      </c>
      <c r="B43" s="13">
        <v>2000000000</v>
      </c>
      <c r="C43" s="82">
        <v>6048.7</v>
      </c>
      <c r="D43" s="82">
        <f>-2600+160+199.3+150-36</f>
        <v>-2126.7</v>
      </c>
      <c r="E43" s="161">
        <f>C43+D43</f>
        <v>3922</v>
      </c>
      <c r="F43" s="66"/>
      <c r="G43" s="70">
        <v>1495.3</v>
      </c>
      <c r="H43" s="67">
        <f>G43+M43</f>
        <v>2416</v>
      </c>
      <c r="I43" s="69">
        <f t="shared" si="4"/>
        <v>0.6160122386537481</v>
      </c>
      <c r="J43" s="69">
        <f t="shared" si="5"/>
        <v>0</v>
      </c>
      <c r="K43" s="70">
        <v>12562.4</v>
      </c>
      <c r="L43" s="69">
        <f t="shared" si="1"/>
        <v>0.192319938865185</v>
      </c>
      <c r="M43" s="70">
        <v>920.7</v>
      </c>
      <c r="N43" s="70">
        <v>3357</v>
      </c>
      <c r="O43" s="69">
        <f t="shared" si="15"/>
        <v>0.27426273458445044</v>
      </c>
      <c r="P43" s="70"/>
      <c r="Q43" s="70"/>
      <c r="R43" s="70"/>
      <c r="V43" s="162"/>
    </row>
    <row r="44" spans="1:22" ht="18">
      <c r="A44" s="13" t="s">
        <v>45</v>
      </c>
      <c r="B44" s="33" t="s">
        <v>94</v>
      </c>
      <c r="C44" s="70"/>
      <c r="D44" s="82"/>
      <c r="E44" s="66">
        <f>C44+D44</f>
        <v>0</v>
      </c>
      <c r="F44" s="66"/>
      <c r="G44" s="70"/>
      <c r="H44" s="67">
        <f>G44+M44</f>
        <v>0</v>
      </c>
      <c r="I44" s="69">
        <f>IF(E44&gt;0,H44/E44,0)</f>
        <v>0</v>
      </c>
      <c r="J44" s="69">
        <f>IF(F44&gt;0,H44/F44,0)</f>
        <v>0</v>
      </c>
      <c r="K44" s="70">
        <v>370.2</v>
      </c>
      <c r="L44" s="69">
        <f t="shared" si="1"/>
        <v>0</v>
      </c>
      <c r="M44" s="70"/>
      <c r="N44" s="70"/>
      <c r="O44" s="69">
        <f t="shared" si="15"/>
        <v>0</v>
      </c>
      <c r="P44" s="70"/>
      <c r="Q44" s="70"/>
      <c r="R44" s="70"/>
      <c r="V44" s="162"/>
    </row>
    <row r="45" spans="1:22" ht="1.5" customHeight="1">
      <c r="A45" s="8" t="s">
        <v>107</v>
      </c>
      <c r="B45" s="154" t="s">
        <v>110</v>
      </c>
      <c r="C45" s="70"/>
      <c r="D45" s="82"/>
      <c r="E45" s="66">
        <f>C45+D45</f>
        <v>0</v>
      </c>
      <c r="F45" s="66"/>
      <c r="G45" s="67"/>
      <c r="H45" s="67">
        <f>G45+M45</f>
        <v>0</v>
      </c>
      <c r="I45" s="69">
        <f>IF(E45&gt;0,H45/E45,0)</f>
        <v>0</v>
      </c>
      <c r="J45" s="69"/>
      <c r="K45" s="67"/>
      <c r="L45" s="69"/>
      <c r="M45" s="67"/>
      <c r="N45" s="67"/>
      <c r="O45" s="69"/>
      <c r="P45" s="70"/>
      <c r="Q45" s="70"/>
      <c r="R45" s="70"/>
      <c r="V45" s="162"/>
    </row>
    <row r="46" spans="1:22" ht="24" customHeight="1">
      <c r="A46" s="8" t="s">
        <v>92</v>
      </c>
      <c r="B46" s="45" t="s">
        <v>106</v>
      </c>
      <c r="C46" s="70"/>
      <c r="D46" s="81"/>
      <c r="E46" s="66">
        <f>C46+D46</f>
        <v>0</v>
      </c>
      <c r="F46" s="66"/>
      <c r="G46" s="70"/>
      <c r="H46" s="67">
        <f>G46+M46</f>
        <v>0</v>
      </c>
      <c r="I46" s="69"/>
      <c r="J46" s="69"/>
      <c r="K46" s="70"/>
      <c r="L46" s="69"/>
      <c r="M46" s="70"/>
      <c r="N46" s="70"/>
      <c r="O46" s="69"/>
      <c r="P46" s="70"/>
      <c r="Q46" s="70"/>
      <c r="R46" s="70"/>
      <c r="V46" s="162"/>
    </row>
    <row r="47" spans="1:22" ht="18">
      <c r="A47" s="9" t="s">
        <v>2</v>
      </c>
      <c r="B47" s="9"/>
      <c r="C47" s="77">
        <f>C41+C43+C44</f>
        <v>16695.427</v>
      </c>
      <c r="D47" s="77">
        <f>D41+D43+D44+D46+D45</f>
        <v>-1927.8549999999998</v>
      </c>
      <c r="E47" s="77">
        <f>E41+E43+E44+E46+E45</f>
        <v>14767.572</v>
      </c>
      <c r="F47" s="78">
        <f>F41+F43+F44</f>
        <v>0</v>
      </c>
      <c r="G47" s="78">
        <f>G41+G43+G44+G46+G45</f>
        <v>11422.099999999999</v>
      </c>
      <c r="H47" s="78">
        <f>H41+H43+H44+H46+H45</f>
        <v>13812.2</v>
      </c>
      <c r="I47" s="79">
        <f t="shared" si="4"/>
        <v>0.9353060882317012</v>
      </c>
      <c r="J47" s="79">
        <f t="shared" si="5"/>
        <v>0</v>
      </c>
      <c r="K47" s="78">
        <f>K41+K43+K44+K45+K46</f>
        <v>22974.500000000004</v>
      </c>
      <c r="L47" s="79">
        <f t="shared" si="1"/>
        <v>0.6011969792596139</v>
      </c>
      <c r="M47" s="78">
        <f>M41+M43+M44+M46+M45</f>
        <v>2390.1000000000004</v>
      </c>
      <c r="N47" s="78">
        <f>N41+N43+N44+N46+N45</f>
        <v>4755.4</v>
      </c>
      <c r="O47" s="79">
        <f t="shared" si="15"/>
        <v>0.502607561929596</v>
      </c>
      <c r="P47" s="78">
        <f>P41+P43+P44</f>
        <v>622.5</v>
      </c>
      <c r="Q47" s="78">
        <f>Q41+Q43+Q44</f>
        <v>460.9</v>
      </c>
      <c r="R47" s="78">
        <f>R41+R43+R44</f>
        <v>487.7</v>
      </c>
      <c r="V47" s="162"/>
    </row>
  </sheetData>
  <sheetProtection/>
  <mergeCells count="15"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</mergeCells>
  <printOptions/>
  <pageMargins left="0.75" right="0.75" top="1" bottom="1" header="0.5" footer="0.5"/>
  <pageSetup fitToWidth="0" fitToHeight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5.253906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3.00390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5"/>
      <c r="B1" s="47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8"/>
      <c r="O1" s="48"/>
      <c r="P1" s="25"/>
      <c r="Q1" s="25"/>
      <c r="R1" s="25"/>
    </row>
    <row r="2" spans="1:18" ht="15.75">
      <c r="A2" s="25"/>
      <c r="B2" s="186" t="s">
        <v>127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8" customHeight="1">
      <c r="A3" s="191" t="s">
        <v>3</v>
      </c>
      <c r="B3" s="183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98.25" customHeight="1">
      <c r="A4" s="192"/>
      <c r="B4" s="193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120</v>
      </c>
      <c r="R4" s="121" t="s">
        <v>124</v>
      </c>
    </row>
    <row r="5" spans="1:18" ht="21" customHeight="1">
      <c r="A5" s="50" t="s">
        <v>21</v>
      </c>
      <c r="B5" s="51"/>
      <c r="C5" s="83">
        <f aca="true" t="shared" si="0" ref="C5:H5">C6+C15+C17+C22+C23+C10</f>
        <v>1366.5</v>
      </c>
      <c r="D5" s="83">
        <f t="shared" si="0"/>
        <v>-453.1</v>
      </c>
      <c r="E5" s="83">
        <f t="shared" si="0"/>
        <v>913.3999999999999</v>
      </c>
      <c r="F5" s="83" t="e">
        <f t="shared" si="0"/>
        <v>#REF!</v>
      </c>
      <c r="G5" s="83">
        <f t="shared" si="0"/>
        <v>839.8</v>
      </c>
      <c r="H5" s="83">
        <f t="shared" si="0"/>
        <v>915.0999999999999</v>
      </c>
      <c r="I5" s="63">
        <f aca="true" t="shared" si="1" ref="I5:I39">IF(E5&gt;0,H5/E5,0)</f>
        <v>1.0018611780162032</v>
      </c>
      <c r="J5" s="63" t="e">
        <f>IF(F5&gt;0,H5/F5,0)</f>
        <v>#REF!</v>
      </c>
      <c r="K5" s="83">
        <f>K6+K15+K17+K22+K23+K10</f>
        <v>1315.1</v>
      </c>
      <c r="L5" s="63">
        <f>IF(K5&gt;0,H5/K5,0)</f>
        <v>0.6958406204851342</v>
      </c>
      <c r="M5" s="83">
        <f>M6+M15+M17+M22+M23+M10</f>
        <v>75.30000000000001</v>
      </c>
      <c r="N5" s="83">
        <f>N6+N15+N17+N22+N23+N10</f>
        <v>75.8</v>
      </c>
      <c r="O5" s="63">
        <f aca="true" t="shared" si="2" ref="O5:O31">IF(N5&gt;0,M5/N5,0)</f>
        <v>0.9934036939313986</v>
      </c>
      <c r="P5" s="83">
        <f>P6+P15+P17+P22+P23+P10</f>
        <v>20.4</v>
      </c>
      <c r="Q5" s="83">
        <f>Q6+Q15+Q17+Q22+Q23+Q10</f>
        <v>8.6</v>
      </c>
      <c r="R5" s="83">
        <f>R6+R15+R17+R22+R23+R10</f>
        <v>15.999999999999998</v>
      </c>
    </row>
    <row r="6" spans="1:19" ht="16.5" customHeight="1">
      <c r="A6" s="9" t="s">
        <v>62</v>
      </c>
      <c r="B6" s="52">
        <v>1010200001</v>
      </c>
      <c r="C6" s="84">
        <f>C7+C8+C9</f>
        <v>396.9</v>
      </c>
      <c r="D6" s="84">
        <f>D7+D8+D9</f>
        <v>0</v>
      </c>
      <c r="E6" s="84">
        <f>E7+E8+E9</f>
        <v>396.9</v>
      </c>
      <c r="F6" s="84" t="e">
        <f>F7+F8+F9+#REF!</f>
        <v>#REF!</v>
      </c>
      <c r="G6" s="84">
        <f>G7+G8+G9</f>
        <v>353.5</v>
      </c>
      <c r="H6" s="84">
        <f>H7+H8+H9</f>
        <v>389.1</v>
      </c>
      <c r="I6" s="65">
        <f t="shared" si="1"/>
        <v>0.980347694633409</v>
      </c>
      <c r="J6" s="65" t="e">
        <f>IF(F6&gt;0,H6/F6,0)</f>
        <v>#REF!</v>
      </c>
      <c r="K6" s="84">
        <f>K7+K8+K9</f>
        <v>404.59999999999997</v>
      </c>
      <c r="L6" s="65">
        <f aca="true" t="shared" si="3" ref="L6:L39">IF(K6&gt;0,H6/K6,0)</f>
        <v>0.9616905585763719</v>
      </c>
      <c r="M6" s="84">
        <f>M7+M8+M9</f>
        <v>35.6</v>
      </c>
      <c r="N6" s="84">
        <f>N7+N8+N9</f>
        <v>40</v>
      </c>
      <c r="O6" s="65">
        <f t="shared" si="2"/>
        <v>0.89</v>
      </c>
      <c r="P6" s="84">
        <f>P7+P8+P9</f>
        <v>0.7</v>
      </c>
      <c r="Q6" s="84">
        <f>Q7+Q8+Q9</f>
        <v>0.6000000000000001</v>
      </c>
      <c r="R6" s="84">
        <f>R7+R8+R9</f>
        <v>0.7</v>
      </c>
      <c r="S6" s="25"/>
    </row>
    <row r="7" spans="1:19" ht="18">
      <c r="A7" s="10" t="s">
        <v>43</v>
      </c>
      <c r="B7" s="13">
        <v>1010201001</v>
      </c>
      <c r="C7" s="70">
        <v>396</v>
      </c>
      <c r="D7" s="67"/>
      <c r="E7" s="66">
        <f>C7+D7</f>
        <v>396</v>
      </c>
      <c r="F7" s="66"/>
      <c r="G7" s="67">
        <v>353.2</v>
      </c>
      <c r="H7" s="68">
        <f>G7+M7</f>
        <v>379.3</v>
      </c>
      <c r="I7" s="69">
        <f t="shared" si="1"/>
        <v>0.9578282828282828</v>
      </c>
      <c r="J7" s="69">
        <f aca="true" t="shared" si="4" ref="J7:J39">IF(F7&gt;0,H7/F7,0)</f>
        <v>0</v>
      </c>
      <c r="K7" s="67">
        <v>404.4</v>
      </c>
      <c r="L7" s="69">
        <f t="shared" si="3"/>
        <v>0.9379327398615234</v>
      </c>
      <c r="M7" s="67">
        <v>26.1</v>
      </c>
      <c r="N7" s="67">
        <v>40</v>
      </c>
      <c r="O7" s="69">
        <f t="shared" si="2"/>
        <v>0.6525000000000001</v>
      </c>
      <c r="P7" s="70">
        <v>0.3</v>
      </c>
      <c r="Q7" s="70">
        <v>0.4</v>
      </c>
      <c r="R7" s="70">
        <v>0.4</v>
      </c>
      <c r="S7" s="167"/>
    </row>
    <row r="8" spans="1:19" ht="18">
      <c r="A8" s="10" t="s">
        <v>42</v>
      </c>
      <c r="B8" s="13">
        <v>1010202001</v>
      </c>
      <c r="C8" s="70"/>
      <c r="D8" s="67"/>
      <c r="E8" s="66">
        <f>C8+D8</f>
        <v>0</v>
      </c>
      <c r="F8" s="66"/>
      <c r="G8" s="70"/>
      <c r="H8" s="68">
        <f>G8+M8</f>
        <v>0</v>
      </c>
      <c r="I8" s="69">
        <f t="shared" si="1"/>
        <v>0</v>
      </c>
      <c r="J8" s="69">
        <f t="shared" si="4"/>
        <v>0</v>
      </c>
      <c r="K8" s="70"/>
      <c r="L8" s="69">
        <f>IF(K8&gt;0,H8/K8,0)</f>
        <v>0</v>
      </c>
      <c r="M8" s="70"/>
      <c r="N8" s="70"/>
      <c r="O8" s="69">
        <f>IF(N8&gt;0,M8/N8,0)</f>
        <v>0</v>
      </c>
      <c r="P8" s="66"/>
      <c r="Q8" s="66"/>
      <c r="R8" s="66"/>
      <c r="S8" s="25"/>
    </row>
    <row r="9" spans="1:19" ht="21" customHeight="1">
      <c r="A9" s="10" t="s">
        <v>41</v>
      </c>
      <c r="B9" s="13">
        <v>1010203001</v>
      </c>
      <c r="C9" s="70">
        <v>0.9</v>
      </c>
      <c r="D9" s="70"/>
      <c r="E9" s="66">
        <f>C9+D9</f>
        <v>0.9</v>
      </c>
      <c r="F9" s="66"/>
      <c r="G9" s="70">
        <v>0.3</v>
      </c>
      <c r="H9" s="68">
        <f>G9+M9</f>
        <v>9.8</v>
      </c>
      <c r="I9" s="69">
        <f t="shared" si="1"/>
        <v>10.88888888888889</v>
      </c>
      <c r="J9" s="69">
        <f t="shared" si="4"/>
        <v>0</v>
      </c>
      <c r="K9" s="70">
        <v>0.2</v>
      </c>
      <c r="L9" s="69">
        <f t="shared" si="3"/>
        <v>49</v>
      </c>
      <c r="M9" s="70">
        <v>9.5</v>
      </c>
      <c r="N9" s="70"/>
      <c r="O9" s="69">
        <f t="shared" si="2"/>
        <v>0</v>
      </c>
      <c r="P9" s="70">
        <v>0.4</v>
      </c>
      <c r="Q9" s="70">
        <v>0.2</v>
      </c>
      <c r="R9" s="70">
        <v>0.3</v>
      </c>
      <c r="S9" s="25"/>
    </row>
    <row r="10" spans="1:19" ht="30" customHeight="1">
      <c r="A10" s="11" t="s">
        <v>47</v>
      </c>
      <c r="B10" s="19">
        <v>1030200001</v>
      </c>
      <c r="C10" s="71">
        <f aca="true" t="shared" si="5" ref="C10:H10">SUM(C11:C14)</f>
        <v>383.59999999999997</v>
      </c>
      <c r="D10" s="71">
        <f t="shared" si="5"/>
        <v>0</v>
      </c>
      <c r="E10" s="71">
        <f t="shared" si="5"/>
        <v>383.59999999999997</v>
      </c>
      <c r="F10" s="71"/>
      <c r="G10" s="71">
        <f>SUM(G11:G14)</f>
        <v>354.6</v>
      </c>
      <c r="H10" s="71">
        <f t="shared" si="5"/>
        <v>389.2</v>
      </c>
      <c r="I10" s="65">
        <f t="shared" si="1"/>
        <v>1.0145985401459854</v>
      </c>
      <c r="J10" s="65">
        <f>IF(F10&gt;0,H10/F10,0)</f>
        <v>0</v>
      </c>
      <c r="K10" s="71">
        <f>SUM(K11:K14)</f>
        <v>318.4</v>
      </c>
      <c r="L10" s="65">
        <f t="shared" si="3"/>
        <v>1.2223618090452262</v>
      </c>
      <c r="M10" s="71">
        <f>SUM(M11:M14)</f>
        <v>34.6</v>
      </c>
      <c r="N10" s="71">
        <f>SUM(N11:N14)</f>
        <v>25.9</v>
      </c>
      <c r="O10" s="65">
        <f t="shared" si="2"/>
        <v>1.3359073359073361</v>
      </c>
      <c r="P10" s="71">
        <f>SUM(P11:P14)</f>
        <v>0</v>
      </c>
      <c r="Q10" s="71">
        <f>SUM(Q11:Q14)</f>
        <v>0</v>
      </c>
      <c r="R10" s="71">
        <f>SUM(R11:R14)</f>
        <v>0</v>
      </c>
      <c r="S10" s="25"/>
    </row>
    <row r="11" spans="1:19" ht="22.5" customHeight="1">
      <c r="A11" s="12" t="s">
        <v>48</v>
      </c>
      <c r="B11" s="12">
        <v>1030223101</v>
      </c>
      <c r="C11" s="70">
        <v>176.1</v>
      </c>
      <c r="D11" s="70"/>
      <c r="E11" s="66">
        <f>C11+D11</f>
        <v>176.1</v>
      </c>
      <c r="F11" s="66"/>
      <c r="G11" s="70">
        <v>162.5</v>
      </c>
      <c r="H11" s="68">
        <f>G11+M11</f>
        <v>179.6</v>
      </c>
      <c r="I11" s="69">
        <f t="shared" si="1"/>
        <v>1.0198750709823963</v>
      </c>
      <c r="J11" s="69">
        <f>IF(F11&gt;0,H11/F11,0)</f>
        <v>0</v>
      </c>
      <c r="K11" s="70">
        <v>146.8</v>
      </c>
      <c r="L11" s="69">
        <f t="shared" si="3"/>
        <v>1.223433242506812</v>
      </c>
      <c r="M11" s="70">
        <v>17.1</v>
      </c>
      <c r="N11" s="70">
        <v>12.1</v>
      </c>
      <c r="O11" s="69">
        <f t="shared" si="2"/>
        <v>1.413223140495868</v>
      </c>
      <c r="P11" s="70"/>
      <c r="Q11" s="70"/>
      <c r="R11" s="70"/>
      <c r="S11" s="25"/>
    </row>
    <row r="12" spans="1:19" ht="18.75" customHeight="1">
      <c r="A12" s="12" t="s">
        <v>49</v>
      </c>
      <c r="B12" s="12">
        <v>1030224101</v>
      </c>
      <c r="C12" s="70">
        <v>1</v>
      </c>
      <c r="D12" s="70"/>
      <c r="E12" s="66">
        <f>C12+D12</f>
        <v>1</v>
      </c>
      <c r="F12" s="66"/>
      <c r="G12" s="70">
        <v>1.2</v>
      </c>
      <c r="H12" s="68">
        <f>G12+M12</f>
        <v>1.3</v>
      </c>
      <c r="I12" s="69">
        <f t="shared" si="1"/>
        <v>1.3</v>
      </c>
      <c r="J12" s="69">
        <f>IF(F12&gt;0,H12/F12,0)</f>
        <v>0</v>
      </c>
      <c r="K12" s="70">
        <v>1.1</v>
      </c>
      <c r="L12" s="69">
        <f t="shared" si="3"/>
        <v>1.1818181818181817</v>
      </c>
      <c r="M12" s="70">
        <v>0.1</v>
      </c>
      <c r="N12" s="70">
        <v>0.1</v>
      </c>
      <c r="O12" s="69">
        <f t="shared" si="2"/>
        <v>1</v>
      </c>
      <c r="P12" s="70"/>
      <c r="Q12" s="70"/>
      <c r="R12" s="70"/>
      <c r="S12" s="25"/>
    </row>
    <row r="13" spans="1:19" ht="19.5" customHeight="1">
      <c r="A13" s="12" t="s">
        <v>50</v>
      </c>
      <c r="B13" s="12">
        <v>1030225101</v>
      </c>
      <c r="C13" s="70">
        <v>231.7</v>
      </c>
      <c r="D13" s="70"/>
      <c r="E13" s="66">
        <f>C13+D13</f>
        <v>231.7</v>
      </c>
      <c r="F13" s="66"/>
      <c r="G13" s="70">
        <v>218.4</v>
      </c>
      <c r="H13" s="68">
        <f>G13+M13</f>
        <v>238.9</v>
      </c>
      <c r="I13" s="69">
        <f t="shared" si="1"/>
        <v>1.0310746655157532</v>
      </c>
      <c r="J13" s="69">
        <f>IF(F13&gt;0,H13/F13,0)</f>
        <v>0</v>
      </c>
      <c r="K13" s="70">
        <v>197.5</v>
      </c>
      <c r="L13" s="69">
        <f t="shared" si="3"/>
        <v>1.209620253164557</v>
      </c>
      <c r="M13" s="70">
        <v>20.5</v>
      </c>
      <c r="N13" s="70">
        <v>16.5</v>
      </c>
      <c r="O13" s="69">
        <f t="shared" si="2"/>
        <v>1.2424242424242424</v>
      </c>
      <c r="P13" s="70"/>
      <c r="Q13" s="70"/>
      <c r="R13" s="70"/>
      <c r="S13" s="25"/>
    </row>
    <row r="14" spans="1:19" ht="18.75" customHeight="1">
      <c r="A14" s="12" t="s">
        <v>51</v>
      </c>
      <c r="B14" s="12">
        <v>1030226101</v>
      </c>
      <c r="C14" s="70">
        <v>-25.2</v>
      </c>
      <c r="D14" s="70"/>
      <c r="E14" s="66">
        <f>C14+D14</f>
        <v>-25.2</v>
      </c>
      <c r="F14" s="66"/>
      <c r="G14" s="70">
        <v>-27.5</v>
      </c>
      <c r="H14" s="68">
        <f>G14+M14</f>
        <v>-30.6</v>
      </c>
      <c r="I14" s="69">
        <f>H14/E14</f>
        <v>1.2142857142857144</v>
      </c>
      <c r="J14" s="69">
        <f>IF(F14&gt;0,H14/F14,0)</f>
        <v>0</v>
      </c>
      <c r="K14" s="70">
        <v>-27</v>
      </c>
      <c r="L14" s="69">
        <f t="shared" si="3"/>
        <v>0</v>
      </c>
      <c r="M14" s="70">
        <v>-3.1</v>
      </c>
      <c r="N14" s="70">
        <v>-2.8</v>
      </c>
      <c r="O14" s="69">
        <f t="shared" si="2"/>
        <v>0</v>
      </c>
      <c r="P14" s="70"/>
      <c r="Q14" s="70"/>
      <c r="R14" s="70"/>
      <c r="S14" s="25"/>
    </row>
    <row r="15" spans="1:19" ht="18">
      <c r="A15" s="9" t="s">
        <v>69</v>
      </c>
      <c r="B15" s="29">
        <v>1050000000</v>
      </c>
      <c r="C15" s="71">
        <f aca="true" t="shared" si="6" ref="C15:H15">C16</f>
        <v>490</v>
      </c>
      <c r="D15" s="126">
        <f t="shared" si="6"/>
        <v>-490</v>
      </c>
      <c r="E15" s="126">
        <f t="shared" si="6"/>
        <v>0</v>
      </c>
      <c r="F15" s="72">
        <f t="shared" si="6"/>
        <v>0</v>
      </c>
      <c r="G15" s="71">
        <f>G16</f>
        <v>-0.3</v>
      </c>
      <c r="H15" s="72">
        <f t="shared" si="6"/>
        <v>-0.3</v>
      </c>
      <c r="I15" s="65">
        <f t="shared" si="1"/>
        <v>0</v>
      </c>
      <c r="J15" s="65">
        <f t="shared" si="4"/>
        <v>0</v>
      </c>
      <c r="K15" s="71">
        <f>K16</f>
        <v>508.3</v>
      </c>
      <c r="L15" s="65">
        <f t="shared" si="3"/>
        <v>-0.0005902026362384419</v>
      </c>
      <c r="M15" s="71">
        <f>M16</f>
        <v>0</v>
      </c>
      <c r="N15" s="71">
        <f>N16</f>
        <v>0</v>
      </c>
      <c r="O15" s="65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  <c r="S15" s="25"/>
    </row>
    <row r="16" spans="1:19" ht="18">
      <c r="A16" s="13" t="s">
        <v>7</v>
      </c>
      <c r="B16" s="13">
        <v>1050300001</v>
      </c>
      <c r="C16" s="70">
        <v>490</v>
      </c>
      <c r="D16" s="82">
        <f>-275-215</f>
        <v>-490</v>
      </c>
      <c r="E16" s="66">
        <f>C16+D16</f>
        <v>0</v>
      </c>
      <c r="F16" s="66">
        <f>1-1</f>
        <v>0</v>
      </c>
      <c r="G16" s="70">
        <v>-0.3</v>
      </c>
      <c r="H16" s="68">
        <f>G16+M16</f>
        <v>-0.3</v>
      </c>
      <c r="I16" s="69">
        <f t="shared" si="1"/>
        <v>0</v>
      </c>
      <c r="J16" s="69">
        <f t="shared" si="4"/>
        <v>0</v>
      </c>
      <c r="K16" s="70">
        <v>508.3</v>
      </c>
      <c r="L16" s="69">
        <f t="shared" si="3"/>
        <v>-0.0005902026362384419</v>
      </c>
      <c r="M16" s="70"/>
      <c r="N16" s="70"/>
      <c r="O16" s="69">
        <f t="shared" si="2"/>
        <v>0</v>
      </c>
      <c r="P16" s="70"/>
      <c r="Q16" s="70"/>
      <c r="R16" s="70"/>
      <c r="S16" s="25"/>
    </row>
    <row r="17" spans="1:19" ht="18">
      <c r="A17" s="9" t="s">
        <v>70</v>
      </c>
      <c r="B17" s="29">
        <v>1060000000</v>
      </c>
      <c r="C17" s="71">
        <f aca="true" t="shared" si="7" ref="C17:H17">C18+C21</f>
        <v>95</v>
      </c>
      <c r="D17" s="124">
        <f t="shared" si="7"/>
        <v>36</v>
      </c>
      <c r="E17" s="72">
        <f t="shared" si="7"/>
        <v>131</v>
      </c>
      <c r="F17" s="72">
        <f t="shared" si="7"/>
        <v>0</v>
      </c>
      <c r="G17" s="71">
        <f>G18+G21</f>
        <v>130.1</v>
      </c>
      <c r="H17" s="72">
        <f t="shared" si="7"/>
        <v>135.2</v>
      </c>
      <c r="I17" s="65">
        <f t="shared" si="1"/>
        <v>1.03206106870229</v>
      </c>
      <c r="J17" s="65">
        <f t="shared" si="4"/>
        <v>0</v>
      </c>
      <c r="K17" s="71">
        <f>K18+K21</f>
        <v>78</v>
      </c>
      <c r="L17" s="65">
        <f t="shared" si="3"/>
        <v>1.7333333333333332</v>
      </c>
      <c r="M17" s="71">
        <f>M18+M21</f>
        <v>5.1</v>
      </c>
      <c r="N17" s="71">
        <f>N18+N21</f>
        <v>9.5</v>
      </c>
      <c r="O17" s="65">
        <f t="shared" si="2"/>
        <v>0.5368421052631579</v>
      </c>
      <c r="P17" s="71">
        <f>P18+P21</f>
        <v>19.7</v>
      </c>
      <c r="Q17" s="71">
        <f>Q18+Q21</f>
        <v>8</v>
      </c>
      <c r="R17" s="71">
        <f>R18+R21</f>
        <v>15.299999999999999</v>
      </c>
      <c r="S17" s="25"/>
    </row>
    <row r="18" spans="1:19" ht="18">
      <c r="A18" s="13" t="s">
        <v>13</v>
      </c>
      <c r="B18" s="13">
        <v>1060600000</v>
      </c>
      <c r="C18" s="73">
        <f aca="true" t="shared" si="8" ref="C18:H18">C19+C20</f>
        <v>80</v>
      </c>
      <c r="D18" s="73">
        <f t="shared" si="8"/>
        <v>45</v>
      </c>
      <c r="E18" s="67">
        <f t="shared" si="8"/>
        <v>125</v>
      </c>
      <c r="F18" s="67">
        <f t="shared" si="8"/>
        <v>0</v>
      </c>
      <c r="G18" s="73">
        <f>G19+G20</f>
        <v>124.7</v>
      </c>
      <c r="H18" s="67">
        <f t="shared" si="8"/>
        <v>129.2</v>
      </c>
      <c r="I18" s="69">
        <f t="shared" si="1"/>
        <v>1.0335999999999999</v>
      </c>
      <c r="J18" s="69">
        <f t="shared" si="4"/>
        <v>0</v>
      </c>
      <c r="K18" s="73">
        <f>K19+K20</f>
        <v>65.1</v>
      </c>
      <c r="L18" s="69">
        <f t="shared" si="3"/>
        <v>1.9846390168970813</v>
      </c>
      <c r="M18" s="73">
        <f>M19+M20</f>
        <v>4.5</v>
      </c>
      <c r="N18" s="73">
        <f>N19+N20</f>
        <v>6.3</v>
      </c>
      <c r="O18" s="69">
        <f t="shared" si="2"/>
        <v>0.7142857142857143</v>
      </c>
      <c r="P18" s="70">
        <f>P19+P20</f>
        <v>16.4</v>
      </c>
      <c r="Q18" s="70">
        <f>Q19+Q20</f>
        <v>6.7</v>
      </c>
      <c r="R18" s="70">
        <f>R19+R20</f>
        <v>12.2</v>
      </c>
      <c r="S18" s="25"/>
    </row>
    <row r="19" spans="1:19" ht="18">
      <c r="A19" s="13" t="s">
        <v>99</v>
      </c>
      <c r="B19" s="13">
        <v>1060603310</v>
      </c>
      <c r="C19" s="70">
        <v>30</v>
      </c>
      <c r="D19" s="67">
        <v>45</v>
      </c>
      <c r="E19" s="66">
        <f>C19+D19</f>
        <v>75</v>
      </c>
      <c r="F19" s="66"/>
      <c r="G19" s="70">
        <v>74.7</v>
      </c>
      <c r="H19" s="68">
        <f>G19+M19</f>
        <v>74.7</v>
      </c>
      <c r="I19" s="69">
        <f t="shared" si="1"/>
        <v>0.996</v>
      </c>
      <c r="J19" s="69">
        <f t="shared" si="4"/>
        <v>0</v>
      </c>
      <c r="K19" s="70">
        <v>13.6</v>
      </c>
      <c r="L19" s="69">
        <f t="shared" si="3"/>
        <v>5.49264705882353</v>
      </c>
      <c r="M19" s="70"/>
      <c r="N19" s="70"/>
      <c r="O19" s="69">
        <f t="shared" si="2"/>
        <v>0</v>
      </c>
      <c r="P19" s="70"/>
      <c r="Q19" s="70"/>
      <c r="R19" s="70"/>
      <c r="S19" s="25"/>
    </row>
    <row r="20" spans="1:20" ht="18">
      <c r="A20" s="13" t="s">
        <v>100</v>
      </c>
      <c r="B20" s="13">
        <v>1060604310</v>
      </c>
      <c r="C20" s="70">
        <v>50</v>
      </c>
      <c r="D20" s="67"/>
      <c r="E20" s="66">
        <f>C20+D20</f>
        <v>50</v>
      </c>
      <c r="F20" s="66"/>
      <c r="G20" s="70">
        <v>50</v>
      </c>
      <c r="H20" s="68">
        <f>G20+M20</f>
        <v>54.5</v>
      </c>
      <c r="I20" s="69">
        <f t="shared" si="1"/>
        <v>1.09</v>
      </c>
      <c r="J20" s="69">
        <f t="shared" si="4"/>
        <v>0</v>
      </c>
      <c r="K20" s="70">
        <v>51.5</v>
      </c>
      <c r="L20" s="69">
        <f t="shared" si="3"/>
        <v>1.058252427184466</v>
      </c>
      <c r="M20" s="70">
        <v>4.5</v>
      </c>
      <c r="N20" s="70">
        <v>6.3</v>
      </c>
      <c r="O20" s="69">
        <f t="shared" si="2"/>
        <v>0.7142857142857143</v>
      </c>
      <c r="P20" s="70">
        <v>16.4</v>
      </c>
      <c r="Q20" s="70">
        <v>6.7</v>
      </c>
      <c r="R20" s="70">
        <v>12.2</v>
      </c>
      <c r="S20" s="168"/>
      <c r="T20" s="155"/>
    </row>
    <row r="21" spans="1:20" ht="18">
      <c r="A21" s="13" t="s">
        <v>12</v>
      </c>
      <c r="B21" s="13">
        <v>1060103010</v>
      </c>
      <c r="C21" s="70">
        <v>15</v>
      </c>
      <c r="D21" s="67">
        <v>-9</v>
      </c>
      <c r="E21" s="66">
        <f>C21+D21</f>
        <v>6</v>
      </c>
      <c r="F21" s="66"/>
      <c r="G21" s="70">
        <v>5.4</v>
      </c>
      <c r="H21" s="68">
        <f>G21+M21</f>
        <v>6</v>
      </c>
      <c r="I21" s="69">
        <f t="shared" si="1"/>
        <v>1</v>
      </c>
      <c r="J21" s="69">
        <f t="shared" si="4"/>
        <v>0</v>
      </c>
      <c r="K21" s="70">
        <v>12.9</v>
      </c>
      <c r="L21" s="69">
        <f t="shared" si="3"/>
        <v>0.46511627906976744</v>
      </c>
      <c r="M21" s="70">
        <v>0.6</v>
      </c>
      <c r="N21" s="70">
        <v>3.2</v>
      </c>
      <c r="O21" s="69">
        <f t="shared" si="2"/>
        <v>0.18749999999999997</v>
      </c>
      <c r="P21" s="70">
        <v>3.3</v>
      </c>
      <c r="Q21" s="70">
        <v>1.3</v>
      </c>
      <c r="R21" s="70">
        <v>3.1</v>
      </c>
      <c r="S21" s="168"/>
      <c r="T21" s="155"/>
    </row>
    <row r="22" spans="1:19" ht="18">
      <c r="A22" s="29" t="s">
        <v>71</v>
      </c>
      <c r="B22" s="29">
        <v>1080402001</v>
      </c>
      <c r="C22" s="71">
        <v>1</v>
      </c>
      <c r="D22" s="72">
        <f>0.8+0.1</f>
        <v>0.9</v>
      </c>
      <c r="E22" s="64">
        <f>C22+D22</f>
        <v>1.9</v>
      </c>
      <c r="F22" s="64"/>
      <c r="G22" s="71">
        <v>1.9</v>
      </c>
      <c r="H22" s="74">
        <f>G22+M22</f>
        <v>1.9</v>
      </c>
      <c r="I22" s="65">
        <f t="shared" si="1"/>
        <v>1</v>
      </c>
      <c r="J22" s="65">
        <f t="shared" si="4"/>
        <v>0</v>
      </c>
      <c r="K22" s="71">
        <v>5.8</v>
      </c>
      <c r="L22" s="65">
        <f t="shared" si="3"/>
        <v>0.3275862068965517</v>
      </c>
      <c r="M22" s="71"/>
      <c r="N22" s="71">
        <v>0.4</v>
      </c>
      <c r="O22" s="65">
        <f t="shared" si="2"/>
        <v>0</v>
      </c>
      <c r="P22" s="71"/>
      <c r="Q22" s="71"/>
      <c r="R22" s="71"/>
      <c r="S22" s="25"/>
    </row>
    <row r="23" spans="1:19" ht="2.25" customHeight="1" hidden="1">
      <c r="A23" s="29" t="s">
        <v>72</v>
      </c>
      <c r="B23" s="29">
        <v>1090405010</v>
      </c>
      <c r="C23" s="71"/>
      <c r="D23" s="71"/>
      <c r="E23" s="64">
        <f>C23+D23</f>
        <v>0</v>
      </c>
      <c r="F23" s="64"/>
      <c r="G23" s="71"/>
      <c r="H23" s="74">
        <f>G23+M23</f>
        <v>0</v>
      </c>
      <c r="I23" s="65">
        <f t="shared" si="1"/>
        <v>0</v>
      </c>
      <c r="J23" s="65">
        <f t="shared" si="4"/>
        <v>0</v>
      </c>
      <c r="K23" s="71"/>
      <c r="L23" s="65">
        <f t="shared" si="3"/>
        <v>0</v>
      </c>
      <c r="M23" s="71"/>
      <c r="N23" s="71"/>
      <c r="O23" s="65">
        <f t="shared" si="2"/>
        <v>0</v>
      </c>
      <c r="P23" s="71"/>
      <c r="Q23" s="71"/>
      <c r="R23" s="71"/>
      <c r="S23" s="25"/>
    </row>
    <row r="24" spans="1:19" ht="18">
      <c r="A24" s="14" t="s">
        <v>22</v>
      </c>
      <c r="B24" s="31"/>
      <c r="C24" s="85">
        <f aca="true" t="shared" si="9" ref="C24:H24">C25+C28+C32+C29+C31+C30</f>
        <v>142</v>
      </c>
      <c r="D24" s="149">
        <f t="shared" si="9"/>
        <v>300.5</v>
      </c>
      <c r="E24" s="149">
        <f t="shared" si="9"/>
        <v>442.5</v>
      </c>
      <c r="F24" s="85">
        <f t="shared" si="9"/>
        <v>0</v>
      </c>
      <c r="G24" s="85">
        <f>G25+G28+G32+G29+G31+G30</f>
        <v>396.59999999999997</v>
      </c>
      <c r="H24" s="85">
        <f t="shared" si="9"/>
        <v>470.19999999999993</v>
      </c>
      <c r="I24" s="63">
        <f t="shared" si="1"/>
        <v>1.062598870056497</v>
      </c>
      <c r="J24" s="63">
        <f t="shared" si="4"/>
        <v>0</v>
      </c>
      <c r="K24" s="85">
        <f>K25+K28+K32+K29+K31+K30</f>
        <v>382.59999999999997</v>
      </c>
      <c r="L24" s="63">
        <f t="shared" si="3"/>
        <v>1.2289597490852064</v>
      </c>
      <c r="M24" s="85">
        <f>M25+M28+M32+M29+M31+M30</f>
        <v>73.6</v>
      </c>
      <c r="N24" s="85">
        <f>N25+N28+N32+N29+N31+N30</f>
        <v>41.300000000000004</v>
      </c>
      <c r="O24" s="63">
        <f t="shared" si="2"/>
        <v>1.7820823244552055</v>
      </c>
      <c r="P24" s="75">
        <f>P25+P28+P31</f>
        <v>0</v>
      </c>
      <c r="Q24" s="75">
        <f>Q25+Q28+Q31</f>
        <v>0</v>
      </c>
      <c r="R24" s="75">
        <f>R25+R28+R31</f>
        <v>0</v>
      </c>
      <c r="S24" s="25"/>
    </row>
    <row r="25" spans="1:19" ht="18">
      <c r="A25" s="9" t="s">
        <v>73</v>
      </c>
      <c r="B25" s="29">
        <v>1110000000</v>
      </c>
      <c r="C25" s="71">
        <f aca="true" t="shared" si="10" ref="C25:H25">C26+C27</f>
        <v>24</v>
      </c>
      <c r="D25" s="71">
        <f t="shared" si="10"/>
        <v>0</v>
      </c>
      <c r="E25" s="71">
        <f t="shared" si="10"/>
        <v>24</v>
      </c>
      <c r="F25" s="71">
        <f t="shared" si="10"/>
        <v>0</v>
      </c>
      <c r="G25" s="71">
        <f>G26+G27</f>
        <v>23.5</v>
      </c>
      <c r="H25" s="71">
        <f t="shared" si="10"/>
        <v>30.9</v>
      </c>
      <c r="I25" s="86">
        <f t="shared" si="1"/>
        <v>1.2874999999999999</v>
      </c>
      <c r="J25" s="86">
        <f t="shared" si="4"/>
        <v>0</v>
      </c>
      <c r="K25" s="71">
        <f>K26+K27</f>
        <v>31.6</v>
      </c>
      <c r="L25" s="86">
        <f t="shared" si="3"/>
        <v>0.9778481012658227</v>
      </c>
      <c r="M25" s="71">
        <f>M26+M27</f>
        <v>7.4</v>
      </c>
      <c r="N25" s="71">
        <f>N26+N27</f>
        <v>1.1</v>
      </c>
      <c r="O25" s="86">
        <f t="shared" si="2"/>
        <v>6.727272727272727</v>
      </c>
      <c r="P25" s="71">
        <f>P26+P27</f>
        <v>0</v>
      </c>
      <c r="Q25" s="71">
        <f>Q26+Q27</f>
        <v>0</v>
      </c>
      <c r="R25" s="71">
        <f>R26+R27</f>
        <v>0</v>
      </c>
      <c r="S25" s="25"/>
    </row>
    <row r="26" spans="1:19" ht="3" customHeight="1" hidden="1">
      <c r="A26" s="13" t="s">
        <v>26</v>
      </c>
      <c r="B26" s="13">
        <v>1110501013</v>
      </c>
      <c r="C26" s="70"/>
      <c r="D26" s="67"/>
      <c r="E26" s="70">
        <f>C26+D26</f>
        <v>0</v>
      </c>
      <c r="F26" s="70"/>
      <c r="G26" s="70"/>
      <c r="H26" s="67">
        <f aca="true" t="shared" si="11" ref="H26:H31">G26+M26</f>
        <v>0</v>
      </c>
      <c r="I26" s="76">
        <f t="shared" si="1"/>
        <v>0</v>
      </c>
      <c r="J26" s="76">
        <f t="shared" si="4"/>
        <v>0</v>
      </c>
      <c r="K26" s="70"/>
      <c r="L26" s="76">
        <f t="shared" si="3"/>
        <v>0</v>
      </c>
      <c r="M26" s="70"/>
      <c r="N26" s="70"/>
      <c r="O26" s="76">
        <f t="shared" si="2"/>
        <v>0</v>
      </c>
      <c r="P26" s="70"/>
      <c r="Q26" s="70"/>
      <c r="R26" s="70"/>
      <c r="S26" s="25"/>
    </row>
    <row r="27" spans="1:19" ht="18">
      <c r="A27" s="32" t="s">
        <v>23</v>
      </c>
      <c r="B27" s="13">
        <v>1110904510</v>
      </c>
      <c r="C27" s="70">
        <v>24</v>
      </c>
      <c r="D27" s="82"/>
      <c r="E27" s="70">
        <f>C27+D27</f>
        <v>24</v>
      </c>
      <c r="F27" s="70"/>
      <c r="G27" s="70">
        <v>23.5</v>
      </c>
      <c r="H27" s="67">
        <f t="shared" si="11"/>
        <v>30.9</v>
      </c>
      <c r="I27" s="76">
        <f t="shared" si="1"/>
        <v>1.2874999999999999</v>
      </c>
      <c r="J27" s="76">
        <f t="shared" si="4"/>
        <v>0</v>
      </c>
      <c r="K27" s="70">
        <v>31.6</v>
      </c>
      <c r="L27" s="76">
        <f t="shared" si="3"/>
        <v>0.9778481012658227</v>
      </c>
      <c r="M27" s="70">
        <v>7.4</v>
      </c>
      <c r="N27" s="70">
        <v>1.1</v>
      </c>
      <c r="O27" s="76">
        <f t="shared" si="2"/>
        <v>6.727272727272727</v>
      </c>
      <c r="P27" s="70"/>
      <c r="Q27" s="70"/>
      <c r="R27" s="70"/>
      <c r="S27" s="25"/>
    </row>
    <row r="28" spans="1:19" ht="18">
      <c r="A28" s="9" t="s">
        <v>38</v>
      </c>
      <c r="B28" s="29">
        <v>1130299510</v>
      </c>
      <c r="C28" s="71">
        <v>118</v>
      </c>
      <c r="D28" s="71">
        <f>200+65+35</f>
        <v>300</v>
      </c>
      <c r="E28" s="71">
        <f>C28+D28</f>
        <v>418</v>
      </c>
      <c r="F28" s="71"/>
      <c r="G28" s="71">
        <v>372.7</v>
      </c>
      <c r="H28" s="72">
        <f t="shared" si="11"/>
        <v>438.79999999999995</v>
      </c>
      <c r="I28" s="86">
        <f t="shared" si="1"/>
        <v>1.0497607655502392</v>
      </c>
      <c r="J28" s="86">
        <f t="shared" si="4"/>
        <v>0</v>
      </c>
      <c r="K28" s="71">
        <v>349.4</v>
      </c>
      <c r="L28" s="86">
        <f t="shared" si="3"/>
        <v>1.2558672009158558</v>
      </c>
      <c r="M28" s="71">
        <v>66.1</v>
      </c>
      <c r="N28" s="71">
        <v>40.1</v>
      </c>
      <c r="O28" s="86">
        <f t="shared" si="2"/>
        <v>1.6483790523690771</v>
      </c>
      <c r="P28" s="71"/>
      <c r="Q28" s="71"/>
      <c r="R28" s="71"/>
      <c r="S28" s="25"/>
    </row>
    <row r="29" spans="1:19" ht="18">
      <c r="A29" s="9" t="s">
        <v>74</v>
      </c>
      <c r="B29" s="29">
        <v>1140205310</v>
      </c>
      <c r="C29" s="71"/>
      <c r="D29" s="71"/>
      <c r="E29" s="71">
        <f>C29+D29</f>
        <v>0</v>
      </c>
      <c r="F29" s="71"/>
      <c r="G29" s="71"/>
      <c r="H29" s="72">
        <f t="shared" si="11"/>
        <v>0</v>
      </c>
      <c r="I29" s="86">
        <f>IF(E29&gt;0,H29/E29,0)</f>
        <v>0</v>
      </c>
      <c r="J29" s="86">
        <f>IF(F29&gt;0,H29/F29,0)</f>
        <v>0</v>
      </c>
      <c r="K29" s="71"/>
      <c r="L29" s="86">
        <f t="shared" si="3"/>
        <v>0</v>
      </c>
      <c r="M29" s="71"/>
      <c r="N29" s="71"/>
      <c r="O29" s="86">
        <f t="shared" si="2"/>
        <v>0</v>
      </c>
      <c r="P29" s="71"/>
      <c r="Q29" s="71"/>
      <c r="R29" s="71"/>
      <c r="S29" s="25"/>
    </row>
    <row r="30" spans="1:19" ht="18">
      <c r="A30" s="9" t="s">
        <v>75</v>
      </c>
      <c r="B30" s="29">
        <v>1140601410</v>
      </c>
      <c r="C30" s="71"/>
      <c r="D30" s="71"/>
      <c r="E30" s="71"/>
      <c r="F30" s="71"/>
      <c r="G30" s="71"/>
      <c r="H30" s="72">
        <f t="shared" si="11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3"/>
        <v>0</v>
      </c>
      <c r="M30" s="71"/>
      <c r="N30" s="71"/>
      <c r="O30" s="86">
        <f t="shared" si="2"/>
        <v>0</v>
      </c>
      <c r="P30" s="71"/>
      <c r="Q30" s="71"/>
      <c r="R30" s="71"/>
      <c r="S30" s="25"/>
    </row>
    <row r="31" spans="1:19" ht="18">
      <c r="A31" s="9" t="s">
        <v>76</v>
      </c>
      <c r="B31" s="29">
        <v>1169005010</v>
      </c>
      <c r="C31" s="71"/>
      <c r="D31" s="71"/>
      <c r="E31" s="72">
        <f>C31+D31</f>
        <v>0</v>
      </c>
      <c r="F31" s="72"/>
      <c r="G31" s="71"/>
      <c r="H31" s="72">
        <f t="shared" si="11"/>
        <v>0</v>
      </c>
      <c r="I31" s="86">
        <f>IF(E31&gt;0,H31/E31,0)</f>
        <v>0</v>
      </c>
      <c r="J31" s="86">
        <f>IF(F31&gt;0,H31/F31,0)</f>
        <v>0</v>
      </c>
      <c r="K31" s="71">
        <v>1.2</v>
      </c>
      <c r="L31" s="86">
        <f t="shared" si="3"/>
        <v>0</v>
      </c>
      <c r="M31" s="71"/>
      <c r="N31" s="71"/>
      <c r="O31" s="86">
        <f t="shared" si="2"/>
        <v>0</v>
      </c>
      <c r="P31" s="71"/>
      <c r="Q31" s="71"/>
      <c r="R31" s="71"/>
      <c r="S31" s="25"/>
    </row>
    <row r="32" spans="1:20" ht="18">
      <c r="A32" s="9" t="s">
        <v>68</v>
      </c>
      <c r="B32" s="29">
        <v>1170000000</v>
      </c>
      <c r="C32" s="71">
        <f>SUM(C33:C34)</f>
        <v>0</v>
      </c>
      <c r="D32" s="71">
        <f aca="true" t="shared" si="12" ref="D32:R32">SUM(D33:D34)</f>
        <v>0.5</v>
      </c>
      <c r="E32" s="71">
        <f t="shared" si="12"/>
        <v>0.5</v>
      </c>
      <c r="F32" s="71">
        <f t="shared" si="12"/>
        <v>0</v>
      </c>
      <c r="G32" s="71">
        <f>SUM(G33:G34)</f>
        <v>0.4</v>
      </c>
      <c r="H32" s="71">
        <f t="shared" si="12"/>
        <v>0.5</v>
      </c>
      <c r="I32" s="86">
        <f>IF(E32&gt;0,H32/E32,0)</f>
        <v>1</v>
      </c>
      <c r="J32" s="86">
        <f>IF(F32&gt;0,H32/F32,0)</f>
        <v>0</v>
      </c>
      <c r="K32" s="71">
        <f>SUM(K33:K34)</f>
        <v>0.4</v>
      </c>
      <c r="L32" s="86">
        <f t="shared" si="3"/>
        <v>1.25</v>
      </c>
      <c r="M32" s="71">
        <f>SUM(M33:M34)</f>
        <v>0.1</v>
      </c>
      <c r="N32" s="71">
        <f>SUM(N33:N34)</f>
        <v>0.1</v>
      </c>
      <c r="O32" s="71">
        <f t="shared" si="12"/>
        <v>1</v>
      </c>
      <c r="P32" s="71">
        <f t="shared" si="12"/>
        <v>0</v>
      </c>
      <c r="Q32" s="71">
        <f>SUM(Q33:Q34)</f>
        <v>0</v>
      </c>
      <c r="R32" s="71">
        <f t="shared" si="12"/>
        <v>0</v>
      </c>
      <c r="S32" s="169"/>
      <c r="T32" s="155"/>
    </row>
    <row r="33" spans="1:19" ht="18">
      <c r="A33" s="13" t="s">
        <v>8</v>
      </c>
      <c r="B33" s="13">
        <v>1170103003</v>
      </c>
      <c r="C33" s="70"/>
      <c r="D33" s="70"/>
      <c r="E33" s="70">
        <f>C33+D33</f>
        <v>0</v>
      </c>
      <c r="F33" s="70"/>
      <c r="G33" s="70"/>
      <c r="H33" s="67">
        <f>G33+M33</f>
        <v>0</v>
      </c>
      <c r="I33" s="76">
        <f t="shared" si="1"/>
        <v>0</v>
      </c>
      <c r="J33" s="76">
        <f t="shared" si="4"/>
        <v>0</v>
      </c>
      <c r="K33" s="70"/>
      <c r="L33" s="76">
        <f t="shared" si="3"/>
        <v>0</v>
      </c>
      <c r="M33" s="70"/>
      <c r="N33" s="70"/>
      <c r="O33" s="76">
        <f aca="true" t="shared" si="13" ref="O33:O39">IF(N33&gt;0,M33/N33,0)</f>
        <v>0</v>
      </c>
      <c r="P33" s="76"/>
      <c r="Q33" s="76"/>
      <c r="R33" s="76"/>
      <c r="S33" s="25"/>
    </row>
    <row r="34" spans="1:19" ht="18">
      <c r="A34" s="13" t="s">
        <v>33</v>
      </c>
      <c r="B34" s="13">
        <v>1170505010</v>
      </c>
      <c r="C34" s="70"/>
      <c r="D34" s="67">
        <v>0.5</v>
      </c>
      <c r="E34" s="70">
        <f>C34+D34</f>
        <v>0.5</v>
      </c>
      <c r="F34" s="70"/>
      <c r="G34" s="70">
        <v>0.4</v>
      </c>
      <c r="H34" s="67">
        <f>G34+M34</f>
        <v>0.5</v>
      </c>
      <c r="I34" s="76">
        <f>IF(E34&gt;0,H34/E34,0)</f>
        <v>1</v>
      </c>
      <c r="J34" s="76">
        <f>IF(F34&gt;0,H34/F34,0)</f>
        <v>0</v>
      </c>
      <c r="K34" s="70">
        <v>0.4</v>
      </c>
      <c r="L34" s="76">
        <f>IF(K34&gt;0,H34/K34,0)</f>
        <v>1.25</v>
      </c>
      <c r="M34" s="70">
        <v>0.1</v>
      </c>
      <c r="N34" s="70">
        <v>0.1</v>
      </c>
      <c r="O34" s="76">
        <f t="shared" si="13"/>
        <v>1</v>
      </c>
      <c r="P34" s="70"/>
      <c r="Q34" s="70"/>
      <c r="R34" s="70"/>
      <c r="S34" s="25"/>
    </row>
    <row r="35" spans="1:19" ht="18">
      <c r="A35" s="9" t="s">
        <v>6</v>
      </c>
      <c r="B35" s="9">
        <v>1000000000</v>
      </c>
      <c r="C35" s="77">
        <f aca="true" t="shared" si="14" ref="C35:H35">C5+C24</f>
        <v>1508.5</v>
      </c>
      <c r="D35" s="77">
        <f t="shared" si="14"/>
        <v>-152.60000000000002</v>
      </c>
      <c r="E35" s="77">
        <f t="shared" si="14"/>
        <v>1355.8999999999999</v>
      </c>
      <c r="F35" s="78" t="e">
        <f t="shared" si="14"/>
        <v>#REF!</v>
      </c>
      <c r="G35" s="78">
        <f>G5+G24</f>
        <v>1236.3999999999999</v>
      </c>
      <c r="H35" s="78">
        <f t="shared" si="14"/>
        <v>1385.2999999999997</v>
      </c>
      <c r="I35" s="79">
        <f t="shared" si="1"/>
        <v>1.0216830149716054</v>
      </c>
      <c r="J35" s="79" t="e">
        <f t="shared" si="4"/>
        <v>#REF!</v>
      </c>
      <c r="K35" s="78">
        <f>K5+K24</f>
        <v>1697.6999999999998</v>
      </c>
      <c r="L35" s="79">
        <f t="shared" si="3"/>
        <v>0.8159863344524945</v>
      </c>
      <c r="M35" s="78">
        <f>M5+M24</f>
        <v>148.9</v>
      </c>
      <c r="N35" s="78">
        <f>N5+N24</f>
        <v>117.1</v>
      </c>
      <c r="O35" s="79">
        <f t="shared" si="13"/>
        <v>1.2715627668659266</v>
      </c>
      <c r="P35" s="78">
        <f>P5+P24</f>
        <v>20.4</v>
      </c>
      <c r="Q35" s="78">
        <f>Q5+Q24</f>
        <v>8.6</v>
      </c>
      <c r="R35" s="78">
        <f>R5+R24</f>
        <v>15.999999999999998</v>
      </c>
      <c r="S35" s="25"/>
    </row>
    <row r="36" spans="1:19" ht="18">
      <c r="A36" s="9" t="s">
        <v>91</v>
      </c>
      <c r="B36" s="9"/>
      <c r="C36" s="78">
        <f aca="true" t="shared" si="15" ref="C36:H36">C35-C10</f>
        <v>1124.9</v>
      </c>
      <c r="D36" s="77">
        <f t="shared" si="15"/>
        <v>-152.60000000000002</v>
      </c>
      <c r="E36" s="77">
        <f t="shared" si="15"/>
        <v>972.3</v>
      </c>
      <c r="F36" s="78" t="e">
        <f t="shared" si="15"/>
        <v>#REF!</v>
      </c>
      <c r="G36" s="78">
        <f>G35-G10</f>
        <v>881.7999999999998</v>
      </c>
      <c r="H36" s="78">
        <f t="shared" si="15"/>
        <v>996.0999999999997</v>
      </c>
      <c r="I36" s="79">
        <f>IF(E36&gt;0,H36/E36,0)</f>
        <v>1.0244780417566592</v>
      </c>
      <c r="J36" s="79" t="e">
        <f>IF(F36&gt;0,H36/F36,0)</f>
        <v>#REF!</v>
      </c>
      <c r="K36" s="78">
        <f>K35-K10</f>
        <v>1379.2999999999997</v>
      </c>
      <c r="L36" s="79">
        <f t="shared" si="3"/>
        <v>0.7221779163343724</v>
      </c>
      <c r="M36" s="78">
        <f>M35-M10</f>
        <v>114.30000000000001</v>
      </c>
      <c r="N36" s="78">
        <f>N35-N10</f>
        <v>91.19999999999999</v>
      </c>
      <c r="O36" s="79">
        <f t="shared" si="13"/>
        <v>1.2532894736842108</v>
      </c>
      <c r="P36" s="78"/>
      <c r="Q36" s="78"/>
      <c r="R36" s="78"/>
      <c r="S36" s="25"/>
    </row>
    <row r="37" spans="1:19" ht="18">
      <c r="A37" s="13" t="s">
        <v>36</v>
      </c>
      <c r="B37" s="13">
        <v>2000000000</v>
      </c>
      <c r="C37" s="70">
        <v>4077.6</v>
      </c>
      <c r="D37" s="67">
        <f>150-1559-16.1+277.1+97.173-213.5</f>
        <v>-1264.327</v>
      </c>
      <c r="E37" s="80">
        <f>C37+D37</f>
        <v>2813.273</v>
      </c>
      <c r="F37" s="66"/>
      <c r="G37" s="70">
        <v>2485.1</v>
      </c>
      <c r="H37" s="67">
        <f>G37+M37</f>
        <v>2813.1</v>
      </c>
      <c r="I37" s="69">
        <f t="shared" si="1"/>
        <v>0.9999385057902307</v>
      </c>
      <c r="J37" s="69">
        <f t="shared" si="4"/>
        <v>0</v>
      </c>
      <c r="K37" s="70">
        <v>5857.2</v>
      </c>
      <c r="L37" s="69">
        <f t="shared" si="3"/>
        <v>0.48028068018848596</v>
      </c>
      <c r="M37" s="70">
        <v>328</v>
      </c>
      <c r="N37" s="70">
        <v>470.8</v>
      </c>
      <c r="O37" s="69">
        <f t="shared" si="13"/>
        <v>0.6966864910790145</v>
      </c>
      <c r="P37" s="70"/>
      <c r="Q37" s="70"/>
      <c r="R37" s="70"/>
      <c r="S37" s="170"/>
    </row>
    <row r="38" spans="1:19" ht="18">
      <c r="A38" s="13" t="s">
        <v>45</v>
      </c>
      <c r="B38" s="33" t="s">
        <v>37</v>
      </c>
      <c r="C38" s="70"/>
      <c r="D38" s="82"/>
      <c r="E38" s="66">
        <f>C38+D38</f>
        <v>0</v>
      </c>
      <c r="F38" s="66"/>
      <c r="G38" s="70"/>
      <c r="H38" s="67">
        <f>G38+M38</f>
        <v>0</v>
      </c>
      <c r="I38" s="69">
        <f>IF(E38&gt;0,H38/E38,0)</f>
        <v>0</v>
      </c>
      <c r="J38" s="69">
        <f>IF(F38&gt;0,H38/F38,0)</f>
        <v>0</v>
      </c>
      <c r="K38" s="70">
        <v>139.5</v>
      </c>
      <c r="L38" s="69">
        <f t="shared" si="3"/>
        <v>0</v>
      </c>
      <c r="M38" s="70"/>
      <c r="N38" s="70"/>
      <c r="O38" s="69">
        <f t="shared" si="13"/>
        <v>0</v>
      </c>
      <c r="P38" s="70"/>
      <c r="Q38" s="70"/>
      <c r="R38" s="70"/>
      <c r="S38" s="25"/>
    </row>
    <row r="39" spans="1:19" ht="18">
      <c r="A39" s="9" t="s">
        <v>2</v>
      </c>
      <c r="B39" s="9">
        <v>0</v>
      </c>
      <c r="C39" s="77">
        <f aca="true" t="shared" si="16" ref="C39:H39">C35+C37+C38</f>
        <v>5586.1</v>
      </c>
      <c r="D39" s="77">
        <f t="shared" si="16"/>
        <v>-1416.9270000000001</v>
      </c>
      <c r="E39" s="77">
        <f t="shared" si="16"/>
        <v>4169.173</v>
      </c>
      <c r="F39" s="78" t="e">
        <f t="shared" si="16"/>
        <v>#REF!</v>
      </c>
      <c r="G39" s="78">
        <f t="shared" si="16"/>
        <v>3721.5</v>
      </c>
      <c r="H39" s="78">
        <f t="shared" si="16"/>
        <v>4198.4</v>
      </c>
      <c r="I39" s="79">
        <f t="shared" si="1"/>
        <v>1.0070102631864881</v>
      </c>
      <c r="J39" s="79" t="e">
        <f t="shared" si="4"/>
        <v>#REF!</v>
      </c>
      <c r="K39" s="78">
        <f>K35+K37+K38</f>
        <v>7694.4</v>
      </c>
      <c r="L39" s="79">
        <f t="shared" si="3"/>
        <v>0.545643584944895</v>
      </c>
      <c r="M39" s="87">
        <f>M35+M37+M38</f>
        <v>476.9</v>
      </c>
      <c r="N39" s="78">
        <f>N35+N37+N38</f>
        <v>587.9</v>
      </c>
      <c r="O39" s="79">
        <f t="shared" si="13"/>
        <v>0.8111923796564041</v>
      </c>
      <c r="P39" s="78">
        <f>P35+P37</f>
        <v>20.4</v>
      </c>
      <c r="Q39" s="78">
        <f>Q35+Q37</f>
        <v>8.6</v>
      </c>
      <c r="R39" s="78">
        <f>R35+R37</f>
        <v>15.999999999999998</v>
      </c>
      <c r="S39" s="25"/>
    </row>
  </sheetData>
  <sheetProtection/>
  <mergeCells count="15"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3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5"/>
      <c r="B1" s="47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8"/>
      <c r="O1" s="48"/>
      <c r="P1" s="25"/>
      <c r="Q1" s="25"/>
      <c r="R1" s="25"/>
    </row>
    <row r="2" spans="1:18" ht="15.75">
      <c r="A2" s="25"/>
      <c r="B2" s="194" t="s">
        <v>128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3.5" customHeight="1">
      <c r="A3" s="183" t="s">
        <v>3</v>
      </c>
      <c r="B3" s="183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93.75" customHeight="1">
      <c r="A4" s="193"/>
      <c r="B4" s="193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120</v>
      </c>
      <c r="R4" s="121" t="s">
        <v>124</v>
      </c>
    </row>
    <row r="5" spans="1:18" ht="19.5" customHeight="1">
      <c r="A5" s="28" t="s">
        <v>21</v>
      </c>
      <c r="B5" s="28"/>
      <c r="C5" s="88">
        <f aca="true" t="shared" si="0" ref="C5:H5">C6+C15+C17+C22+C23+C10</f>
        <v>1349</v>
      </c>
      <c r="D5" s="88">
        <f t="shared" si="0"/>
        <v>0</v>
      </c>
      <c r="E5" s="138">
        <f t="shared" si="0"/>
        <v>1349</v>
      </c>
      <c r="F5" s="88" t="e">
        <f t="shared" si="0"/>
        <v>#REF!</v>
      </c>
      <c r="G5" s="88">
        <f t="shared" si="0"/>
        <v>1324.6000000000001</v>
      </c>
      <c r="H5" s="88">
        <f t="shared" si="0"/>
        <v>1481.3999999999999</v>
      </c>
      <c r="I5" s="89">
        <f aca="true" t="shared" si="1" ref="I5:I40">IF(E5&gt;0,H5/E5,0)</f>
        <v>1.0981467753891772</v>
      </c>
      <c r="J5" s="89" t="e">
        <f>IF(F5&gt;0,H5/F5,0)</f>
        <v>#REF!</v>
      </c>
      <c r="K5" s="88">
        <f>K6+K15+K17+K22+K23+K10</f>
        <v>1376.8</v>
      </c>
      <c r="L5" s="89">
        <f>IF(K5&gt;0,H5/K5,0)</f>
        <v>1.075973271353864</v>
      </c>
      <c r="M5" s="88">
        <f>M6+M15+M17+M22+M23+M10</f>
        <v>156.8</v>
      </c>
      <c r="N5" s="88">
        <f>N6+N15+N17+N22+N23+N10</f>
        <v>206.7</v>
      </c>
      <c r="O5" s="89">
        <f aca="true" t="shared" si="2" ref="O5:O33">IF(N5&gt;0,M5/N5,0)</f>
        <v>0.7585873246250606</v>
      </c>
      <c r="P5" s="88">
        <f>P6+P15+P17+P22+P23+P10</f>
        <v>31.700000000000003</v>
      </c>
      <c r="Q5" s="88">
        <f>Q6+Q15+Q17+Q22+Q23+Q10</f>
        <v>14.299999999999999</v>
      </c>
      <c r="R5" s="88">
        <f>R6+R15+R17+R22+R23+R10</f>
        <v>25.8</v>
      </c>
    </row>
    <row r="6" spans="1:18" ht="18">
      <c r="A6" s="9" t="s">
        <v>62</v>
      </c>
      <c r="B6" s="29">
        <v>1010200001</v>
      </c>
      <c r="C6" s="71">
        <f>C7+C8+C9</f>
        <v>495</v>
      </c>
      <c r="D6" s="71">
        <f>D7+D8+D9</f>
        <v>0</v>
      </c>
      <c r="E6" s="71">
        <f>E7+E8+E9</f>
        <v>495</v>
      </c>
      <c r="F6" s="71" t="e">
        <f>F7+F8+F9+#REF!</f>
        <v>#REF!</v>
      </c>
      <c r="G6" s="71">
        <f>G7+G8+G9</f>
        <v>514.6</v>
      </c>
      <c r="H6" s="71">
        <f>H7+H8+H9</f>
        <v>586.9</v>
      </c>
      <c r="I6" s="86">
        <f t="shared" si="1"/>
        <v>1.1856565656565656</v>
      </c>
      <c r="J6" s="86" t="e">
        <f>IF(F6&gt;0,H6/F6,0)</f>
        <v>#REF!</v>
      </c>
      <c r="K6" s="71">
        <f>K7+K8+K9</f>
        <v>587.3</v>
      </c>
      <c r="L6" s="86">
        <f aca="true" t="shared" si="3" ref="L6:L40">IF(K6&gt;0,H6/K6,0)</f>
        <v>0.9993189170781543</v>
      </c>
      <c r="M6" s="71">
        <f>M7+M8+M9</f>
        <v>72.3</v>
      </c>
      <c r="N6" s="71">
        <f>N7+N8+N9</f>
        <v>122.9</v>
      </c>
      <c r="O6" s="86">
        <f t="shared" si="2"/>
        <v>0.5882831570382424</v>
      </c>
      <c r="P6" s="71">
        <f>P7+P8+P9</f>
        <v>0.3</v>
      </c>
      <c r="Q6" s="71">
        <f>Q7+Q8+Q9</f>
        <v>0.2</v>
      </c>
      <c r="R6" s="71">
        <f>R7+R8+R9</f>
        <v>0.2</v>
      </c>
    </row>
    <row r="7" spans="1:18" ht="18" customHeight="1">
      <c r="A7" s="10" t="s">
        <v>43</v>
      </c>
      <c r="B7" s="13">
        <v>1010201001</v>
      </c>
      <c r="C7" s="70">
        <v>495</v>
      </c>
      <c r="D7" s="82"/>
      <c r="E7" s="70">
        <f>C7+D7</f>
        <v>495</v>
      </c>
      <c r="F7" s="70"/>
      <c r="G7" s="67">
        <v>514.2</v>
      </c>
      <c r="H7" s="67">
        <f>G7+M7</f>
        <v>586.5</v>
      </c>
      <c r="I7" s="76">
        <f t="shared" si="1"/>
        <v>1.1848484848484848</v>
      </c>
      <c r="J7" s="76">
        <f aca="true" t="shared" si="4" ref="J7:J40">IF(F7&gt;0,H7/F7,0)</f>
        <v>0</v>
      </c>
      <c r="K7" s="67">
        <v>586.4</v>
      </c>
      <c r="L7" s="76">
        <f t="shared" si="3"/>
        <v>1.0001705320600274</v>
      </c>
      <c r="M7" s="67">
        <v>72.3</v>
      </c>
      <c r="N7" s="67">
        <v>122.9</v>
      </c>
      <c r="O7" s="76">
        <f t="shared" si="2"/>
        <v>0.5882831570382424</v>
      </c>
      <c r="P7" s="70"/>
      <c r="Q7" s="70"/>
      <c r="R7" s="70"/>
    </row>
    <row r="8" spans="1:18" ht="17.25" customHeight="1">
      <c r="A8" s="10" t="s">
        <v>42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4"/>
        <v>0</v>
      </c>
      <c r="K8" s="70"/>
      <c r="L8" s="76">
        <f>IF(K8&gt;0,H8/K8,0)</f>
        <v>0</v>
      </c>
      <c r="M8" s="70"/>
      <c r="N8" s="70"/>
      <c r="O8" s="76">
        <f>IF(N8&gt;0,M8/N8,0)</f>
        <v>0</v>
      </c>
      <c r="P8" s="70"/>
      <c r="Q8" s="70"/>
      <c r="R8" s="70"/>
    </row>
    <row r="9" spans="1:18" ht="17.25" customHeight="1">
      <c r="A9" s="10" t="s">
        <v>41</v>
      </c>
      <c r="B9" s="13">
        <v>1010203001</v>
      </c>
      <c r="C9" s="70"/>
      <c r="D9" s="70"/>
      <c r="E9" s="70">
        <f>C9+D9</f>
        <v>0</v>
      </c>
      <c r="F9" s="70"/>
      <c r="G9" s="70">
        <v>0.4</v>
      </c>
      <c r="H9" s="67">
        <f>G9+M9</f>
        <v>0.4</v>
      </c>
      <c r="I9" s="76">
        <f t="shared" si="1"/>
        <v>0</v>
      </c>
      <c r="J9" s="76">
        <f t="shared" si="4"/>
        <v>0</v>
      </c>
      <c r="K9" s="70">
        <v>0.9</v>
      </c>
      <c r="L9" s="76">
        <f t="shared" si="3"/>
        <v>0.4444444444444445</v>
      </c>
      <c r="M9" s="70"/>
      <c r="N9" s="70"/>
      <c r="O9" s="76">
        <f t="shared" si="2"/>
        <v>0</v>
      </c>
      <c r="P9" s="70">
        <v>0.3</v>
      </c>
      <c r="Q9" s="70">
        <v>0.2</v>
      </c>
      <c r="R9" s="70">
        <v>0.2</v>
      </c>
    </row>
    <row r="10" spans="1:18" ht="18" customHeight="1">
      <c r="A10" s="11" t="s">
        <v>47</v>
      </c>
      <c r="B10" s="19">
        <v>1030200001</v>
      </c>
      <c r="C10" s="71">
        <f aca="true" t="shared" si="5" ref="C10:H10">SUM(C11:C14)</f>
        <v>691</v>
      </c>
      <c r="D10" s="71">
        <f t="shared" si="5"/>
        <v>0</v>
      </c>
      <c r="E10" s="71">
        <f t="shared" si="5"/>
        <v>691</v>
      </c>
      <c r="F10" s="71"/>
      <c r="G10" s="71">
        <f>SUM(G11:G14)</f>
        <v>642.7</v>
      </c>
      <c r="H10" s="71">
        <f t="shared" si="5"/>
        <v>705.3</v>
      </c>
      <c r="I10" s="65">
        <f t="shared" si="1"/>
        <v>1.0206946454413892</v>
      </c>
      <c r="J10" s="65">
        <f>IF(F10&gt;0,H10/F10,0)</f>
        <v>0</v>
      </c>
      <c r="K10" s="71">
        <f>SUM(K11:K14)</f>
        <v>615.7</v>
      </c>
      <c r="L10" s="65">
        <f t="shared" si="3"/>
        <v>1.1455254182231605</v>
      </c>
      <c r="M10" s="71">
        <f>SUM(M11:M14)</f>
        <v>62.6</v>
      </c>
      <c r="N10" s="71">
        <f>SUM(N11:N14)</f>
        <v>50.2</v>
      </c>
      <c r="O10" s="65">
        <f t="shared" si="2"/>
        <v>1.247011952191235</v>
      </c>
      <c r="P10" s="71">
        <f>SUM(P11:P14)</f>
        <v>0</v>
      </c>
      <c r="Q10" s="71">
        <f>SUM(Q11:Q14)</f>
        <v>0</v>
      </c>
      <c r="R10" s="71">
        <f>SUM(R11:R14)</f>
        <v>0</v>
      </c>
    </row>
    <row r="11" spans="1:18" ht="19.5" customHeight="1">
      <c r="A11" s="12" t="s">
        <v>48</v>
      </c>
      <c r="B11" s="12">
        <v>1030223101</v>
      </c>
      <c r="C11" s="70">
        <v>317.3</v>
      </c>
      <c r="D11" s="70"/>
      <c r="E11" s="66">
        <f>C11+D11</f>
        <v>317.3</v>
      </c>
      <c r="F11" s="66"/>
      <c r="G11" s="70">
        <v>294.6</v>
      </c>
      <c r="H11" s="68">
        <f>G11+M11</f>
        <v>325.6</v>
      </c>
      <c r="I11" s="69">
        <f t="shared" si="1"/>
        <v>1.0261582098959976</v>
      </c>
      <c r="J11" s="69"/>
      <c r="K11" s="70">
        <v>284.1</v>
      </c>
      <c r="L11" s="69">
        <f t="shared" si="3"/>
        <v>1.146075325589581</v>
      </c>
      <c r="M11" s="70">
        <v>31</v>
      </c>
      <c r="N11" s="70">
        <v>23.5</v>
      </c>
      <c r="O11" s="69">
        <f t="shared" si="2"/>
        <v>1.3191489361702127</v>
      </c>
      <c r="P11" s="70"/>
      <c r="Q11" s="70"/>
      <c r="R11" s="70"/>
    </row>
    <row r="12" spans="1:18" ht="17.25" customHeight="1">
      <c r="A12" s="12" t="s">
        <v>49</v>
      </c>
      <c r="B12" s="12">
        <v>1030224101</v>
      </c>
      <c r="C12" s="70">
        <v>1.8</v>
      </c>
      <c r="D12" s="70"/>
      <c r="E12" s="66">
        <f>C12+D12</f>
        <v>1.8</v>
      </c>
      <c r="F12" s="66"/>
      <c r="G12" s="70">
        <v>2.1</v>
      </c>
      <c r="H12" s="68">
        <f>G12+M12</f>
        <v>2.3000000000000003</v>
      </c>
      <c r="I12" s="69">
        <f t="shared" si="1"/>
        <v>1.277777777777778</v>
      </c>
      <c r="J12" s="69"/>
      <c r="K12" s="70">
        <v>1.9</v>
      </c>
      <c r="L12" s="69">
        <f t="shared" si="3"/>
        <v>1.210526315789474</v>
      </c>
      <c r="M12" s="70">
        <v>0.2</v>
      </c>
      <c r="N12" s="70">
        <v>0.1</v>
      </c>
      <c r="O12" s="69">
        <f t="shared" si="2"/>
        <v>2</v>
      </c>
      <c r="P12" s="70"/>
      <c r="Q12" s="70"/>
      <c r="R12" s="70"/>
    </row>
    <row r="13" spans="1:18" ht="18" customHeight="1">
      <c r="A13" s="12" t="s">
        <v>89</v>
      </c>
      <c r="B13" s="12">
        <v>1030225101</v>
      </c>
      <c r="C13" s="70">
        <v>417.4</v>
      </c>
      <c r="D13" s="70"/>
      <c r="E13" s="66">
        <f>C13+D13</f>
        <v>417.4</v>
      </c>
      <c r="F13" s="66"/>
      <c r="G13" s="70">
        <v>395.9</v>
      </c>
      <c r="H13" s="68">
        <f>G13+M13</f>
        <v>432.9</v>
      </c>
      <c r="I13" s="69">
        <f t="shared" si="1"/>
        <v>1.0371346430282702</v>
      </c>
      <c r="J13" s="69"/>
      <c r="K13" s="70">
        <v>382</v>
      </c>
      <c r="L13" s="69">
        <f t="shared" si="3"/>
        <v>1.1332460732984293</v>
      </c>
      <c r="M13" s="70">
        <v>37</v>
      </c>
      <c r="N13" s="70">
        <v>32</v>
      </c>
      <c r="O13" s="69">
        <f t="shared" si="2"/>
        <v>1.15625</v>
      </c>
      <c r="P13" s="70"/>
      <c r="Q13" s="70"/>
      <c r="R13" s="70"/>
    </row>
    <row r="14" spans="1:18" ht="17.25" customHeight="1">
      <c r="A14" s="12" t="s">
        <v>51</v>
      </c>
      <c r="B14" s="12">
        <v>1030226101</v>
      </c>
      <c r="C14" s="70">
        <v>-45.5</v>
      </c>
      <c r="D14" s="70"/>
      <c r="E14" s="66">
        <f>C14+D14</f>
        <v>-45.5</v>
      </c>
      <c r="F14" s="66"/>
      <c r="G14" s="70">
        <v>-49.9</v>
      </c>
      <c r="H14" s="68">
        <f>G14+M14</f>
        <v>-55.5</v>
      </c>
      <c r="I14" s="69">
        <f>H14/E14</f>
        <v>1.2197802197802199</v>
      </c>
      <c r="J14" s="69"/>
      <c r="K14" s="70">
        <v>-52.3</v>
      </c>
      <c r="L14" s="69">
        <f t="shared" si="3"/>
        <v>0</v>
      </c>
      <c r="M14" s="70">
        <v>-5.6</v>
      </c>
      <c r="N14" s="70">
        <v>-5.4</v>
      </c>
      <c r="O14" s="69">
        <f t="shared" si="2"/>
        <v>0</v>
      </c>
      <c r="P14" s="70"/>
      <c r="Q14" s="70"/>
      <c r="R14" s="70"/>
    </row>
    <row r="15" spans="1:18" ht="18">
      <c r="A15" s="9" t="s">
        <v>69</v>
      </c>
      <c r="B15" s="29">
        <v>1050000000</v>
      </c>
      <c r="C15" s="71">
        <f aca="true" t="shared" si="6" ref="C15:H15">C16</f>
        <v>0</v>
      </c>
      <c r="D15" s="72">
        <f t="shared" si="6"/>
        <v>0</v>
      </c>
      <c r="E15" s="72">
        <f t="shared" si="6"/>
        <v>0</v>
      </c>
      <c r="F15" s="72">
        <f t="shared" si="6"/>
        <v>0</v>
      </c>
      <c r="G15" s="71">
        <f>G16</f>
        <v>0</v>
      </c>
      <c r="H15" s="72">
        <f t="shared" si="6"/>
        <v>0</v>
      </c>
      <c r="I15" s="86">
        <f t="shared" si="1"/>
        <v>0</v>
      </c>
      <c r="J15" s="86">
        <f t="shared" si="4"/>
        <v>0</v>
      </c>
      <c r="K15" s="71">
        <f>K16</f>
        <v>0</v>
      </c>
      <c r="L15" s="86">
        <f t="shared" si="3"/>
        <v>0</v>
      </c>
      <c r="M15" s="71">
        <f>M16</f>
        <v>0</v>
      </c>
      <c r="N15" s="71">
        <f>N16</f>
        <v>0</v>
      </c>
      <c r="O15" s="86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</row>
    <row r="16" spans="1:18" ht="18">
      <c r="A16" s="13" t="s">
        <v>7</v>
      </c>
      <c r="B16" s="13">
        <v>1050300001</v>
      </c>
      <c r="C16" s="70"/>
      <c r="D16" s="67"/>
      <c r="E16" s="70">
        <f>C16+D16</f>
        <v>0</v>
      </c>
      <c r="F16" s="70"/>
      <c r="G16" s="70"/>
      <c r="H16" s="67">
        <f>G16+M16</f>
        <v>0</v>
      </c>
      <c r="I16" s="76">
        <f t="shared" si="1"/>
        <v>0</v>
      </c>
      <c r="J16" s="76">
        <f t="shared" si="4"/>
        <v>0</v>
      </c>
      <c r="K16" s="70"/>
      <c r="L16" s="76">
        <f t="shared" si="3"/>
        <v>0</v>
      </c>
      <c r="M16" s="70"/>
      <c r="N16" s="70"/>
      <c r="O16" s="76">
        <f t="shared" si="2"/>
        <v>0</v>
      </c>
      <c r="P16" s="70"/>
      <c r="Q16" s="70"/>
      <c r="R16" s="70"/>
    </row>
    <row r="17" spans="1:18" ht="18">
      <c r="A17" s="9" t="s">
        <v>70</v>
      </c>
      <c r="B17" s="29">
        <v>1060000000</v>
      </c>
      <c r="C17" s="71">
        <f aca="true" t="shared" si="7" ref="C17:H17">C18+C21</f>
        <v>160</v>
      </c>
      <c r="D17" s="72">
        <f t="shared" si="7"/>
        <v>0</v>
      </c>
      <c r="E17" s="72">
        <f t="shared" si="7"/>
        <v>160</v>
      </c>
      <c r="F17" s="72">
        <f t="shared" si="7"/>
        <v>0</v>
      </c>
      <c r="G17" s="71">
        <f>G18+G21</f>
        <v>162.3</v>
      </c>
      <c r="H17" s="72">
        <f t="shared" si="7"/>
        <v>182.7</v>
      </c>
      <c r="I17" s="86">
        <f t="shared" si="1"/>
        <v>1.141875</v>
      </c>
      <c r="J17" s="86">
        <f t="shared" si="4"/>
        <v>0</v>
      </c>
      <c r="K17" s="71">
        <f>K18+K21</f>
        <v>162.8</v>
      </c>
      <c r="L17" s="86">
        <f t="shared" si="3"/>
        <v>1.122235872235872</v>
      </c>
      <c r="M17" s="71">
        <f>M18+M21</f>
        <v>20.400000000000002</v>
      </c>
      <c r="N17" s="71">
        <f>N18+N21</f>
        <v>32.9</v>
      </c>
      <c r="O17" s="86">
        <f t="shared" si="2"/>
        <v>0.6200607902735563</v>
      </c>
      <c r="P17" s="71">
        <f>P18+P21</f>
        <v>31.400000000000002</v>
      </c>
      <c r="Q17" s="71">
        <f>Q18+Q21</f>
        <v>14.1</v>
      </c>
      <c r="R17" s="71">
        <f>R18+R21</f>
        <v>25.6</v>
      </c>
    </row>
    <row r="18" spans="1:18" ht="18">
      <c r="A18" s="13" t="s">
        <v>13</v>
      </c>
      <c r="B18" s="13">
        <v>1060600000</v>
      </c>
      <c r="C18" s="70">
        <f aca="true" t="shared" si="8" ref="C18:H18">C19+C20</f>
        <v>127</v>
      </c>
      <c r="D18" s="67">
        <f t="shared" si="8"/>
        <v>0</v>
      </c>
      <c r="E18" s="67">
        <f t="shared" si="8"/>
        <v>127</v>
      </c>
      <c r="F18" s="67">
        <f t="shared" si="8"/>
        <v>0</v>
      </c>
      <c r="G18" s="70">
        <f>G19+G20</f>
        <v>132</v>
      </c>
      <c r="H18" s="67">
        <f t="shared" si="8"/>
        <v>148.6</v>
      </c>
      <c r="I18" s="76">
        <f t="shared" si="1"/>
        <v>1.1700787401574804</v>
      </c>
      <c r="J18" s="76">
        <f t="shared" si="4"/>
        <v>0</v>
      </c>
      <c r="K18" s="70">
        <f>K19+K20</f>
        <v>128</v>
      </c>
      <c r="L18" s="76">
        <f t="shared" si="3"/>
        <v>1.1609375</v>
      </c>
      <c r="M18" s="70">
        <f>M19+M20</f>
        <v>16.6</v>
      </c>
      <c r="N18" s="70">
        <f>N19+N20</f>
        <v>10.7</v>
      </c>
      <c r="O18" s="76">
        <f t="shared" si="2"/>
        <v>1.5514018691588787</v>
      </c>
      <c r="P18" s="70">
        <f>P19+P20</f>
        <v>24.1</v>
      </c>
      <c r="Q18" s="70">
        <f>Q19+Q20</f>
        <v>10.1</v>
      </c>
      <c r="R18" s="70">
        <f>R19+R20</f>
        <v>17.200000000000003</v>
      </c>
    </row>
    <row r="19" spans="1:18" ht="18">
      <c r="A19" s="13" t="s">
        <v>99</v>
      </c>
      <c r="B19" s="13">
        <v>1060603310</v>
      </c>
      <c r="C19" s="70">
        <v>78</v>
      </c>
      <c r="D19" s="67"/>
      <c r="E19" s="70">
        <f>C19+D19</f>
        <v>78</v>
      </c>
      <c r="F19" s="70"/>
      <c r="G19" s="70">
        <v>91.6</v>
      </c>
      <c r="H19" s="67">
        <f>G19+M19</f>
        <v>97.6</v>
      </c>
      <c r="I19" s="76">
        <f t="shared" si="1"/>
        <v>1.2512820512820513</v>
      </c>
      <c r="J19" s="76">
        <f t="shared" si="4"/>
        <v>0</v>
      </c>
      <c r="K19" s="70">
        <v>85.9</v>
      </c>
      <c r="L19" s="76">
        <f t="shared" si="3"/>
        <v>1.1362048894062862</v>
      </c>
      <c r="M19" s="70">
        <v>6</v>
      </c>
      <c r="N19" s="70"/>
      <c r="O19" s="76">
        <f t="shared" si="2"/>
        <v>0</v>
      </c>
      <c r="P19" s="70">
        <v>0.1</v>
      </c>
      <c r="Q19" s="70">
        <v>0.1</v>
      </c>
      <c r="R19" s="70">
        <v>0.1</v>
      </c>
    </row>
    <row r="20" spans="1:18" ht="18">
      <c r="A20" s="13" t="s">
        <v>100</v>
      </c>
      <c r="B20" s="13">
        <v>1060604310</v>
      </c>
      <c r="C20" s="70">
        <v>49</v>
      </c>
      <c r="D20" s="67"/>
      <c r="E20" s="70">
        <f>C20+D20</f>
        <v>49</v>
      </c>
      <c r="F20" s="70"/>
      <c r="G20" s="70">
        <v>40.4</v>
      </c>
      <c r="H20" s="67">
        <f>G20+M20</f>
        <v>51</v>
      </c>
      <c r="I20" s="76">
        <f t="shared" si="1"/>
        <v>1.0408163265306123</v>
      </c>
      <c r="J20" s="76">
        <f t="shared" si="4"/>
        <v>0</v>
      </c>
      <c r="K20" s="70">
        <v>42.1</v>
      </c>
      <c r="L20" s="76">
        <f t="shared" si="3"/>
        <v>1.2114014251781473</v>
      </c>
      <c r="M20" s="70">
        <v>10.6</v>
      </c>
      <c r="N20" s="70">
        <v>10.7</v>
      </c>
      <c r="O20" s="76">
        <f t="shared" si="2"/>
        <v>0.9906542056074766</v>
      </c>
      <c r="P20" s="70">
        <v>24</v>
      </c>
      <c r="Q20" s="70">
        <v>10</v>
      </c>
      <c r="R20" s="70">
        <v>17.1</v>
      </c>
    </row>
    <row r="21" spans="1:20" ht="18">
      <c r="A21" s="13" t="s">
        <v>12</v>
      </c>
      <c r="B21" s="13">
        <v>1060103010</v>
      </c>
      <c r="C21" s="70">
        <v>33</v>
      </c>
      <c r="D21" s="67"/>
      <c r="E21" s="70">
        <f>C21+D21</f>
        <v>33</v>
      </c>
      <c r="F21" s="70"/>
      <c r="G21" s="70">
        <v>30.3</v>
      </c>
      <c r="H21" s="67">
        <f>G21+M21</f>
        <v>34.1</v>
      </c>
      <c r="I21" s="76">
        <f t="shared" si="1"/>
        <v>1.0333333333333334</v>
      </c>
      <c r="J21" s="76">
        <f t="shared" si="4"/>
        <v>0</v>
      </c>
      <c r="K21" s="70">
        <v>34.8</v>
      </c>
      <c r="L21" s="76">
        <f t="shared" si="3"/>
        <v>0.9798850574712645</v>
      </c>
      <c r="M21" s="70">
        <v>3.8</v>
      </c>
      <c r="N21" s="70">
        <v>22.2</v>
      </c>
      <c r="O21" s="76">
        <f t="shared" si="2"/>
        <v>0.17117117117117117</v>
      </c>
      <c r="P21" s="70">
        <v>7.3</v>
      </c>
      <c r="Q21" s="70">
        <v>4</v>
      </c>
      <c r="R21" s="70">
        <v>8.4</v>
      </c>
      <c r="S21" s="127"/>
      <c r="T21" s="155"/>
    </row>
    <row r="22" spans="1:18" ht="18">
      <c r="A22" s="9" t="s">
        <v>71</v>
      </c>
      <c r="B22" s="29">
        <v>1080402001</v>
      </c>
      <c r="C22" s="71">
        <v>3</v>
      </c>
      <c r="D22" s="72"/>
      <c r="E22" s="71">
        <f>C22+D22</f>
        <v>3</v>
      </c>
      <c r="F22" s="71"/>
      <c r="G22" s="71">
        <v>5</v>
      </c>
      <c r="H22" s="72">
        <f>G22+M22</f>
        <v>6.5</v>
      </c>
      <c r="I22" s="86">
        <f t="shared" si="1"/>
        <v>2.1666666666666665</v>
      </c>
      <c r="J22" s="86">
        <f t="shared" si="4"/>
        <v>0</v>
      </c>
      <c r="K22" s="71">
        <v>11</v>
      </c>
      <c r="L22" s="86">
        <f t="shared" si="3"/>
        <v>0.5909090909090909</v>
      </c>
      <c r="M22" s="71">
        <v>1.5</v>
      </c>
      <c r="N22" s="71">
        <v>0.7</v>
      </c>
      <c r="O22" s="86">
        <f t="shared" si="2"/>
        <v>2.142857142857143</v>
      </c>
      <c r="P22" s="71"/>
      <c r="Q22" s="71"/>
      <c r="R22" s="71"/>
    </row>
    <row r="23" spans="1:18" ht="18" hidden="1">
      <c r="A23" s="9" t="s">
        <v>72</v>
      </c>
      <c r="B23" s="29">
        <v>1090405010</v>
      </c>
      <c r="C23" s="71"/>
      <c r="D23" s="71"/>
      <c r="E23" s="71">
        <f>C23+D23</f>
        <v>0</v>
      </c>
      <c r="F23" s="71"/>
      <c r="G23" s="71"/>
      <c r="H23" s="72">
        <f>G23+M23</f>
        <v>0</v>
      </c>
      <c r="I23" s="86">
        <f t="shared" si="1"/>
        <v>0</v>
      </c>
      <c r="J23" s="86">
        <f t="shared" si="4"/>
        <v>0</v>
      </c>
      <c r="K23" s="71"/>
      <c r="L23" s="86">
        <f t="shared" si="3"/>
        <v>0</v>
      </c>
      <c r="M23" s="71"/>
      <c r="N23" s="71"/>
      <c r="O23" s="86">
        <f t="shared" si="2"/>
        <v>0</v>
      </c>
      <c r="P23" s="71"/>
      <c r="Q23" s="71"/>
      <c r="R23" s="71"/>
    </row>
    <row r="24" spans="1:18" ht="18">
      <c r="A24" s="31" t="s">
        <v>22</v>
      </c>
      <c r="B24" s="31"/>
      <c r="C24" s="85">
        <f aca="true" t="shared" si="9" ref="C24:H24">C25+C29+C33+C31+C32+C30</f>
        <v>70</v>
      </c>
      <c r="D24" s="85">
        <f t="shared" si="9"/>
        <v>948.981</v>
      </c>
      <c r="E24" s="85">
        <f t="shared" si="9"/>
        <v>1018.981</v>
      </c>
      <c r="F24" s="85">
        <f t="shared" si="9"/>
        <v>0</v>
      </c>
      <c r="G24" s="85">
        <f>G25+G29+G33+G31+G32+G30</f>
        <v>179.7</v>
      </c>
      <c r="H24" s="85">
        <f t="shared" si="9"/>
        <v>187.20000000000002</v>
      </c>
      <c r="I24" s="89">
        <f t="shared" si="1"/>
        <v>0.18371294459857448</v>
      </c>
      <c r="J24" s="89">
        <f t="shared" si="4"/>
        <v>0</v>
      </c>
      <c r="K24" s="85">
        <f>K25+K29+K33+K31+K32+K30</f>
        <v>165.8</v>
      </c>
      <c r="L24" s="89">
        <f t="shared" si="3"/>
        <v>1.1290711700844391</v>
      </c>
      <c r="M24" s="85">
        <f>M25+M29+M33+M31+M32+M30</f>
        <v>7.5</v>
      </c>
      <c r="N24" s="85">
        <f>N25+N29+N33+N31+N32+N30</f>
        <v>14.4</v>
      </c>
      <c r="O24" s="89">
        <f t="shared" si="2"/>
        <v>0.5208333333333334</v>
      </c>
      <c r="P24" s="75">
        <f>P25+P29+P32</f>
        <v>0</v>
      </c>
      <c r="Q24" s="75">
        <f>Q25+Q29+Q32</f>
        <v>0</v>
      </c>
      <c r="R24" s="75">
        <f>R25+R29+R32</f>
        <v>0</v>
      </c>
    </row>
    <row r="25" spans="1:18" ht="18">
      <c r="A25" s="9" t="s">
        <v>73</v>
      </c>
      <c r="B25" s="29">
        <v>1110000000</v>
      </c>
      <c r="C25" s="71">
        <f aca="true" t="shared" si="10" ref="C25:H25">C26+C28+C27</f>
        <v>20</v>
      </c>
      <c r="D25" s="71">
        <f t="shared" si="10"/>
        <v>0</v>
      </c>
      <c r="E25" s="71">
        <f t="shared" si="10"/>
        <v>20</v>
      </c>
      <c r="F25" s="71">
        <f t="shared" si="10"/>
        <v>0</v>
      </c>
      <c r="G25" s="71">
        <f>G26+G28+G27</f>
        <v>41.6</v>
      </c>
      <c r="H25" s="71">
        <f t="shared" si="10"/>
        <v>42.300000000000004</v>
      </c>
      <c r="I25" s="86">
        <f t="shared" si="1"/>
        <v>2.115</v>
      </c>
      <c r="J25" s="86">
        <f t="shared" si="4"/>
        <v>0</v>
      </c>
      <c r="K25" s="71">
        <f>K26+K28+K27</f>
        <v>40.8</v>
      </c>
      <c r="L25" s="86">
        <f t="shared" si="3"/>
        <v>1.036764705882353</v>
      </c>
      <c r="M25" s="71">
        <f>M26+M28+M27</f>
        <v>0.7</v>
      </c>
      <c r="N25" s="71">
        <f>N26+N28+N27</f>
        <v>1.9</v>
      </c>
      <c r="O25" s="86">
        <f t="shared" si="2"/>
        <v>0.3684210526315789</v>
      </c>
      <c r="P25" s="71">
        <f>P26+P28+P27</f>
        <v>0</v>
      </c>
      <c r="Q25" s="71">
        <f>Q26+Q28+Q27</f>
        <v>0</v>
      </c>
      <c r="R25" s="71">
        <f>R26+R28+R27</f>
        <v>0</v>
      </c>
    </row>
    <row r="26" spans="1:18" ht="0.75" customHeight="1">
      <c r="A26" s="13" t="s">
        <v>26</v>
      </c>
      <c r="B26" s="13">
        <v>1110501013</v>
      </c>
      <c r="C26" s="70"/>
      <c r="D26" s="67"/>
      <c r="E26" s="70">
        <f aca="true" t="shared" si="11" ref="E26:E32">C26+D26</f>
        <v>0</v>
      </c>
      <c r="F26" s="70"/>
      <c r="G26" s="70"/>
      <c r="H26" s="67">
        <f aca="true" t="shared" si="12" ref="H26:H32">G26+M26</f>
        <v>0</v>
      </c>
      <c r="I26" s="76">
        <f t="shared" si="1"/>
        <v>0</v>
      </c>
      <c r="J26" s="76">
        <f t="shared" si="4"/>
        <v>0</v>
      </c>
      <c r="K26" s="70"/>
      <c r="L26" s="76">
        <f t="shared" si="3"/>
        <v>0</v>
      </c>
      <c r="M26" s="70"/>
      <c r="N26" s="70"/>
      <c r="O26" s="76">
        <f t="shared" si="2"/>
        <v>0</v>
      </c>
      <c r="P26" s="70"/>
      <c r="Q26" s="70"/>
      <c r="R26" s="70"/>
    </row>
    <row r="27" spans="1:18" ht="21" customHeight="1" hidden="1">
      <c r="A27" s="13" t="s">
        <v>27</v>
      </c>
      <c r="B27" s="13">
        <v>1110903510</v>
      </c>
      <c r="C27" s="70"/>
      <c r="D27" s="67"/>
      <c r="E27" s="70">
        <f t="shared" si="11"/>
        <v>0</v>
      </c>
      <c r="F27" s="70"/>
      <c r="G27" s="70"/>
      <c r="H27" s="67">
        <f t="shared" si="12"/>
        <v>0</v>
      </c>
      <c r="I27" s="76">
        <f t="shared" si="1"/>
        <v>0</v>
      </c>
      <c r="J27" s="76">
        <f t="shared" si="4"/>
        <v>0</v>
      </c>
      <c r="K27" s="70"/>
      <c r="L27" s="76">
        <f t="shared" si="3"/>
        <v>0</v>
      </c>
      <c r="M27" s="70"/>
      <c r="N27" s="70"/>
      <c r="O27" s="76">
        <f t="shared" si="2"/>
        <v>0</v>
      </c>
      <c r="P27" s="70"/>
      <c r="Q27" s="70"/>
      <c r="R27" s="70"/>
    </row>
    <row r="28" spans="1:18" ht="22.5" customHeight="1">
      <c r="A28" s="32" t="s">
        <v>23</v>
      </c>
      <c r="B28" s="13">
        <v>1110904510</v>
      </c>
      <c r="C28" s="70">
        <v>20</v>
      </c>
      <c r="D28" s="67"/>
      <c r="E28" s="70">
        <f t="shared" si="11"/>
        <v>20</v>
      </c>
      <c r="F28" s="70"/>
      <c r="G28" s="70">
        <v>41.6</v>
      </c>
      <c r="H28" s="67">
        <f t="shared" si="12"/>
        <v>42.300000000000004</v>
      </c>
      <c r="I28" s="76">
        <f t="shared" si="1"/>
        <v>2.115</v>
      </c>
      <c r="J28" s="76">
        <f t="shared" si="4"/>
        <v>0</v>
      </c>
      <c r="K28" s="70">
        <v>40.8</v>
      </c>
      <c r="L28" s="76">
        <f t="shared" si="3"/>
        <v>1.036764705882353</v>
      </c>
      <c r="M28" s="70">
        <v>0.7</v>
      </c>
      <c r="N28" s="70">
        <v>1.9</v>
      </c>
      <c r="O28" s="76">
        <f t="shared" si="2"/>
        <v>0.3684210526315789</v>
      </c>
      <c r="P28" s="70"/>
      <c r="Q28" s="70"/>
      <c r="R28" s="70"/>
    </row>
    <row r="29" spans="1:18" ht="18">
      <c r="A29" s="9" t="s">
        <v>38</v>
      </c>
      <c r="B29" s="29">
        <v>1130299510</v>
      </c>
      <c r="C29" s="71">
        <v>50</v>
      </c>
      <c r="D29" s="71">
        <f>888.794+116.9-30.1-40.313+13.7</f>
        <v>948.981</v>
      </c>
      <c r="E29" s="71">
        <f t="shared" si="11"/>
        <v>998.981</v>
      </c>
      <c r="F29" s="71"/>
      <c r="G29" s="71">
        <v>137.9</v>
      </c>
      <c r="H29" s="72">
        <f t="shared" si="12"/>
        <v>144.6</v>
      </c>
      <c r="I29" s="86">
        <f t="shared" si="1"/>
        <v>0.14474749770015646</v>
      </c>
      <c r="J29" s="86">
        <f t="shared" si="4"/>
        <v>0</v>
      </c>
      <c r="K29" s="71">
        <v>124.7</v>
      </c>
      <c r="L29" s="86">
        <f t="shared" si="3"/>
        <v>1.1595829991980753</v>
      </c>
      <c r="M29" s="71">
        <v>6.7</v>
      </c>
      <c r="N29" s="71">
        <v>12.4</v>
      </c>
      <c r="O29" s="86">
        <f t="shared" si="2"/>
        <v>0.5403225806451613</v>
      </c>
      <c r="P29" s="71"/>
      <c r="Q29" s="71"/>
      <c r="R29" s="71"/>
    </row>
    <row r="30" spans="1:18" ht="18">
      <c r="A30" s="9" t="s">
        <v>44</v>
      </c>
      <c r="B30" s="29">
        <v>1140205310</v>
      </c>
      <c r="C30" s="71"/>
      <c r="D30" s="71"/>
      <c r="E30" s="71">
        <f t="shared" si="11"/>
        <v>0</v>
      </c>
      <c r="F30" s="71"/>
      <c r="G30" s="71"/>
      <c r="H30" s="72">
        <f t="shared" si="12"/>
        <v>0</v>
      </c>
      <c r="I30" s="86">
        <f t="shared" si="1"/>
        <v>0</v>
      </c>
      <c r="J30" s="86"/>
      <c r="K30" s="71"/>
      <c r="L30" s="86">
        <f t="shared" si="3"/>
        <v>0</v>
      </c>
      <c r="M30" s="71"/>
      <c r="N30" s="71"/>
      <c r="O30" s="86">
        <f t="shared" si="2"/>
        <v>0</v>
      </c>
      <c r="P30" s="71"/>
      <c r="Q30" s="71"/>
      <c r="R30" s="71"/>
    </row>
    <row r="31" spans="1:18" ht="18">
      <c r="A31" s="9" t="s">
        <v>77</v>
      </c>
      <c r="B31" s="29">
        <v>1140601410</v>
      </c>
      <c r="C31" s="71"/>
      <c r="D31" s="71"/>
      <c r="E31" s="71">
        <f t="shared" si="11"/>
        <v>0</v>
      </c>
      <c r="F31" s="71"/>
      <c r="G31" s="71"/>
      <c r="H31" s="72">
        <f t="shared" si="12"/>
        <v>0</v>
      </c>
      <c r="I31" s="86">
        <f t="shared" si="1"/>
        <v>0</v>
      </c>
      <c r="J31" s="86">
        <f t="shared" si="4"/>
        <v>0</v>
      </c>
      <c r="K31" s="71"/>
      <c r="L31" s="86">
        <f t="shared" si="3"/>
        <v>0</v>
      </c>
      <c r="M31" s="71"/>
      <c r="N31" s="71"/>
      <c r="O31" s="86">
        <f t="shared" si="2"/>
        <v>0</v>
      </c>
      <c r="P31" s="71"/>
      <c r="Q31" s="71"/>
      <c r="R31" s="71"/>
    </row>
    <row r="32" spans="1:18" ht="18">
      <c r="A32" s="9" t="s">
        <v>76</v>
      </c>
      <c r="B32" s="29">
        <v>1169005010</v>
      </c>
      <c r="C32" s="71"/>
      <c r="D32" s="71"/>
      <c r="E32" s="71">
        <f t="shared" si="11"/>
        <v>0</v>
      </c>
      <c r="F32" s="71"/>
      <c r="G32" s="71"/>
      <c r="H32" s="72">
        <f t="shared" si="12"/>
        <v>0</v>
      </c>
      <c r="I32" s="86">
        <f>IF(E32&gt;0,H32/E32,0)</f>
        <v>0</v>
      </c>
      <c r="J32" s="86">
        <f>IF(F32&gt;0,H32/F32,0)</f>
        <v>0</v>
      </c>
      <c r="K32" s="71"/>
      <c r="L32" s="86">
        <f t="shared" si="3"/>
        <v>0</v>
      </c>
      <c r="M32" s="71"/>
      <c r="N32" s="71"/>
      <c r="O32" s="86">
        <f t="shared" si="2"/>
        <v>0</v>
      </c>
      <c r="P32" s="71"/>
      <c r="Q32" s="71"/>
      <c r="R32" s="71"/>
    </row>
    <row r="33" spans="1:18" ht="18">
      <c r="A33" s="9" t="s">
        <v>68</v>
      </c>
      <c r="B33" s="29">
        <v>1170000000</v>
      </c>
      <c r="C33" s="72">
        <f aca="true" t="shared" si="13" ref="C33:H33">SUM(C34:C35)</f>
        <v>0</v>
      </c>
      <c r="D33" s="72">
        <f t="shared" si="13"/>
        <v>0</v>
      </c>
      <c r="E33" s="72">
        <f t="shared" si="13"/>
        <v>0</v>
      </c>
      <c r="F33" s="72">
        <f t="shared" si="13"/>
        <v>0</v>
      </c>
      <c r="G33" s="72">
        <f>SUM(G34:G35)</f>
        <v>0.2</v>
      </c>
      <c r="H33" s="72">
        <f t="shared" si="13"/>
        <v>0.30000000000000004</v>
      </c>
      <c r="I33" s="86">
        <f>IF(E33&gt;0,H33/E33,0)</f>
        <v>0</v>
      </c>
      <c r="J33" s="86">
        <f>IF(F33&gt;0,H33/F33,0)</f>
        <v>0</v>
      </c>
      <c r="K33" s="72">
        <f>SUM(K34:K35)</f>
        <v>0.3</v>
      </c>
      <c r="L33" s="86">
        <f t="shared" si="3"/>
        <v>1.0000000000000002</v>
      </c>
      <c r="M33" s="72">
        <f>SUM(M34:M35)</f>
        <v>0.1</v>
      </c>
      <c r="N33" s="72">
        <f>SUM(N34:N35)</f>
        <v>0.1</v>
      </c>
      <c r="O33" s="86">
        <f t="shared" si="2"/>
        <v>1</v>
      </c>
      <c r="P33" s="72">
        <f>SUM(P34:P35)</f>
        <v>0</v>
      </c>
      <c r="Q33" s="72">
        <f>SUM(Q34:Q35)</f>
        <v>0</v>
      </c>
      <c r="R33" s="72">
        <f>SUM(R34:R35)</f>
        <v>0</v>
      </c>
    </row>
    <row r="34" spans="1:18" ht="18">
      <c r="A34" s="13" t="s">
        <v>8</v>
      </c>
      <c r="B34" s="13">
        <v>1170103003</v>
      </c>
      <c r="C34" s="70"/>
      <c r="D34" s="70"/>
      <c r="E34" s="70">
        <f>C34+D34</f>
        <v>0</v>
      </c>
      <c r="F34" s="70"/>
      <c r="G34" s="70"/>
      <c r="H34" s="67">
        <f>G34+M34</f>
        <v>0</v>
      </c>
      <c r="I34" s="76">
        <f t="shared" si="1"/>
        <v>0</v>
      </c>
      <c r="J34" s="76">
        <f t="shared" si="4"/>
        <v>0</v>
      </c>
      <c r="K34" s="70"/>
      <c r="L34" s="76">
        <f t="shared" si="3"/>
        <v>0</v>
      </c>
      <c r="M34" s="70"/>
      <c r="N34" s="70"/>
      <c r="O34" s="76">
        <f aca="true" t="shared" si="14" ref="O34:O40">IF(N34&gt;0,M34/N34,0)</f>
        <v>0</v>
      </c>
      <c r="P34" s="76"/>
      <c r="Q34" s="76"/>
      <c r="R34" s="76"/>
    </row>
    <row r="35" spans="1:18" ht="18">
      <c r="A35" s="13" t="s">
        <v>33</v>
      </c>
      <c r="B35" s="13">
        <v>1170505010</v>
      </c>
      <c r="C35" s="70"/>
      <c r="D35" s="67"/>
      <c r="E35" s="70">
        <f>C35+D35</f>
        <v>0</v>
      </c>
      <c r="F35" s="70"/>
      <c r="G35" s="70">
        <v>0.2</v>
      </c>
      <c r="H35" s="67">
        <f>G35+M35</f>
        <v>0.30000000000000004</v>
      </c>
      <c r="I35" s="76">
        <f>IF(E35&gt;0,H35/E35,0)</f>
        <v>0</v>
      </c>
      <c r="J35" s="76">
        <f>IF(F35&gt;0,H35/F35,0)</f>
        <v>0</v>
      </c>
      <c r="K35" s="70">
        <v>0.3</v>
      </c>
      <c r="L35" s="76">
        <f>IF(K35&gt;0,H35/K35,0)</f>
        <v>1.0000000000000002</v>
      </c>
      <c r="M35" s="70">
        <v>0.1</v>
      </c>
      <c r="N35" s="70">
        <v>0.1</v>
      </c>
      <c r="O35" s="76">
        <f t="shared" si="14"/>
        <v>1</v>
      </c>
      <c r="P35" s="70"/>
      <c r="Q35" s="70"/>
      <c r="R35" s="70"/>
    </row>
    <row r="36" spans="1:20" ht="18">
      <c r="A36" s="9" t="s">
        <v>6</v>
      </c>
      <c r="B36" s="9">
        <v>1000000000</v>
      </c>
      <c r="C36" s="78">
        <f aca="true" t="shared" si="15" ref="C36:H36">C5+C24</f>
        <v>1419</v>
      </c>
      <c r="D36" s="77">
        <f t="shared" si="15"/>
        <v>948.981</v>
      </c>
      <c r="E36" s="77">
        <f t="shared" si="15"/>
        <v>2367.9809999999998</v>
      </c>
      <c r="F36" s="78" t="e">
        <f t="shared" si="15"/>
        <v>#REF!</v>
      </c>
      <c r="G36" s="78">
        <f>G5+G24</f>
        <v>1504.3000000000002</v>
      </c>
      <c r="H36" s="78">
        <f t="shared" si="15"/>
        <v>1668.6</v>
      </c>
      <c r="I36" s="90">
        <f t="shared" si="1"/>
        <v>0.7046509241417056</v>
      </c>
      <c r="J36" s="90" t="e">
        <f t="shared" si="4"/>
        <v>#REF!</v>
      </c>
      <c r="K36" s="78">
        <f>K5+K24</f>
        <v>1542.6</v>
      </c>
      <c r="L36" s="90">
        <f t="shared" si="3"/>
        <v>1.0816802800466745</v>
      </c>
      <c r="M36" s="78">
        <f>M5+M24</f>
        <v>164.3</v>
      </c>
      <c r="N36" s="78">
        <f>N5+N24</f>
        <v>221.1</v>
      </c>
      <c r="O36" s="90">
        <f t="shared" si="14"/>
        <v>0.7431026684758029</v>
      </c>
      <c r="P36" s="78">
        <f>P5+P24</f>
        <v>31.700000000000003</v>
      </c>
      <c r="Q36" s="78">
        <f>Q5+Q24</f>
        <v>14.299999999999999</v>
      </c>
      <c r="R36" s="78">
        <f>R5+R24</f>
        <v>25.8</v>
      </c>
      <c r="S36" s="157"/>
      <c r="T36" s="155"/>
    </row>
    <row r="37" spans="1:18" ht="18">
      <c r="A37" s="9" t="s">
        <v>91</v>
      </c>
      <c r="B37" s="9"/>
      <c r="C37" s="78">
        <f aca="true" t="shared" si="16" ref="C37:H37">C36-C10</f>
        <v>728</v>
      </c>
      <c r="D37" s="77">
        <f t="shared" si="16"/>
        <v>948.981</v>
      </c>
      <c r="E37" s="77">
        <f t="shared" si="16"/>
        <v>1676.9809999999998</v>
      </c>
      <c r="F37" s="78" t="e">
        <f t="shared" si="16"/>
        <v>#REF!</v>
      </c>
      <c r="G37" s="78">
        <f>G36-G10</f>
        <v>861.6000000000001</v>
      </c>
      <c r="H37" s="78">
        <f t="shared" si="16"/>
        <v>963.3</v>
      </c>
      <c r="I37" s="90">
        <f>IF(E37&gt;0,H37/E37,0)</f>
        <v>0.5744251127472524</v>
      </c>
      <c r="J37" s="90" t="e">
        <f>IF(F37&gt;0,H37/F37,0)</f>
        <v>#REF!</v>
      </c>
      <c r="K37" s="78">
        <f>K36-K10</f>
        <v>926.8999999999999</v>
      </c>
      <c r="L37" s="90">
        <f t="shared" si="3"/>
        <v>1.0392706872370268</v>
      </c>
      <c r="M37" s="78">
        <f>M36-M10</f>
        <v>101.70000000000002</v>
      </c>
      <c r="N37" s="78">
        <f>N36-N10</f>
        <v>170.89999999999998</v>
      </c>
      <c r="O37" s="90">
        <f t="shared" si="14"/>
        <v>0.5950848449385607</v>
      </c>
      <c r="P37" s="78"/>
      <c r="Q37" s="78"/>
      <c r="R37" s="78"/>
    </row>
    <row r="38" spans="1:19" ht="18">
      <c r="A38" s="13" t="s">
        <v>25</v>
      </c>
      <c r="B38" s="13">
        <v>2000000000</v>
      </c>
      <c r="C38" s="70">
        <v>2901.6</v>
      </c>
      <c r="D38" s="82">
        <f>90-3-593.2+116.9+116-8.321-37.5</f>
        <v>-319.1210000000001</v>
      </c>
      <c r="E38" s="70">
        <f>C38+D38</f>
        <v>2582.479</v>
      </c>
      <c r="F38" s="70"/>
      <c r="G38" s="70">
        <v>2184</v>
      </c>
      <c r="H38" s="67">
        <f>G38+M38</f>
        <v>2539.4</v>
      </c>
      <c r="I38" s="76">
        <f t="shared" si="1"/>
        <v>0.9833187414108693</v>
      </c>
      <c r="J38" s="76">
        <f t="shared" si="4"/>
        <v>0</v>
      </c>
      <c r="K38" s="70">
        <v>2267.1</v>
      </c>
      <c r="L38" s="76">
        <f t="shared" si="3"/>
        <v>1.120109390851749</v>
      </c>
      <c r="M38" s="70">
        <v>355.4</v>
      </c>
      <c r="N38" s="70">
        <v>454.5</v>
      </c>
      <c r="O38" s="76">
        <f t="shared" si="14"/>
        <v>0.7819581958195819</v>
      </c>
      <c r="P38" s="70"/>
      <c r="Q38" s="70"/>
      <c r="R38" s="70"/>
      <c r="S38" s="171"/>
    </row>
    <row r="39" spans="1:18" ht="18">
      <c r="A39" s="13" t="s">
        <v>46</v>
      </c>
      <c r="B39" s="33" t="s">
        <v>37</v>
      </c>
      <c r="C39" s="70"/>
      <c r="D39" s="81"/>
      <c r="E39" s="70">
        <f>C39+D39</f>
        <v>0</v>
      </c>
      <c r="F39" s="70"/>
      <c r="G39" s="70"/>
      <c r="H39" s="67">
        <f>G39+M39</f>
        <v>0</v>
      </c>
      <c r="I39" s="76">
        <f t="shared" si="1"/>
        <v>0</v>
      </c>
      <c r="J39" s="76"/>
      <c r="K39" s="70"/>
      <c r="L39" s="76">
        <f t="shared" si="3"/>
        <v>0</v>
      </c>
      <c r="M39" s="70"/>
      <c r="N39" s="70"/>
      <c r="O39" s="76">
        <f t="shared" si="14"/>
        <v>0</v>
      </c>
      <c r="P39" s="70"/>
      <c r="Q39" s="70"/>
      <c r="R39" s="70"/>
    </row>
    <row r="40" spans="1:18" ht="18">
      <c r="A40" s="9" t="s">
        <v>2</v>
      </c>
      <c r="B40" s="9">
        <v>0</v>
      </c>
      <c r="C40" s="87">
        <f>C36+C38+C39</f>
        <v>4320.6</v>
      </c>
      <c r="D40" s="77">
        <f>D36+D38+D39</f>
        <v>629.8599999999999</v>
      </c>
      <c r="E40" s="77">
        <f>E36+E38+E39</f>
        <v>4950.459999999999</v>
      </c>
      <c r="F40" s="87" t="e">
        <f>F36+F38</f>
        <v>#REF!</v>
      </c>
      <c r="G40" s="78">
        <f>G36+G38+G39</f>
        <v>3688.3</v>
      </c>
      <c r="H40" s="78">
        <f>H36+H38+H39</f>
        <v>4208</v>
      </c>
      <c r="I40" s="90">
        <f t="shared" si="1"/>
        <v>0.8500220181558887</v>
      </c>
      <c r="J40" s="90" t="e">
        <f t="shared" si="4"/>
        <v>#REF!</v>
      </c>
      <c r="K40" s="78">
        <f>K36+K38+K39</f>
        <v>3809.7</v>
      </c>
      <c r="L40" s="90">
        <f t="shared" si="3"/>
        <v>1.1045489146126992</v>
      </c>
      <c r="M40" s="78">
        <f>M36+M38+M39</f>
        <v>519.7</v>
      </c>
      <c r="N40" s="78">
        <f>N36+N38+N39</f>
        <v>675.6</v>
      </c>
      <c r="O40" s="90">
        <f t="shared" si="14"/>
        <v>0.7692421551213736</v>
      </c>
      <c r="P40" s="91">
        <f>P36+P38</f>
        <v>31.700000000000003</v>
      </c>
      <c r="Q40" s="78">
        <f>Q36+Q38</f>
        <v>14.299999999999999</v>
      </c>
      <c r="R40" s="78">
        <f>R36+R38</f>
        <v>25.8</v>
      </c>
    </row>
    <row r="41" ht="18">
      <c r="I41" s="152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5.00390625" style="0" customWidth="1"/>
    <col min="5" max="5" width="15.125" style="0" customWidth="1"/>
    <col min="6" max="6" width="0.12890625" style="0" hidden="1" customWidth="1"/>
    <col min="7" max="7" width="13.12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2.62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5"/>
      <c r="B1" s="47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8"/>
      <c r="O1" s="48"/>
      <c r="P1" s="25"/>
      <c r="Q1" s="25"/>
      <c r="R1" s="25"/>
    </row>
    <row r="2" spans="1:18" ht="15.75">
      <c r="A2" s="25"/>
      <c r="B2" s="194" t="s">
        <v>129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3.5" customHeight="1">
      <c r="A3" s="183" t="s">
        <v>3</v>
      </c>
      <c r="B3" s="183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93.75" customHeight="1">
      <c r="A4" s="193"/>
      <c r="B4" s="193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120</v>
      </c>
      <c r="R4" s="121" t="s">
        <v>124</v>
      </c>
    </row>
    <row r="5" spans="1:20" ht="17.25" customHeight="1">
      <c r="A5" s="28" t="s">
        <v>21</v>
      </c>
      <c r="B5" s="28"/>
      <c r="C5" s="88">
        <f aca="true" t="shared" si="0" ref="C5:H5">C6+C15+C17+C22+C23+C10</f>
        <v>1740.7000000000003</v>
      </c>
      <c r="D5" s="88">
        <f t="shared" si="0"/>
        <v>161.1</v>
      </c>
      <c r="E5" s="88">
        <f t="shared" si="0"/>
        <v>1901.8000000000002</v>
      </c>
      <c r="F5" s="88">
        <f t="shared" si="0"/>
        <v>0</v>
      </c>
      <c r="G5" s="88">
        <f t="shared" si="0"/>
        <v>1777.6999999999998</v>
      </c>
      <c r="H5" s="88">
        <f t="shared" si="0"/>
        <v>1940.6</v>
      </c>
      <c r="I5" s="89">
        <f aca="true" t="shared" si="1" ref="I5:I39">IF(E5&gt;0,H5/E5,0)</f>
        <v>1.0204017246818802</v>
      </c>
      <c r="J5" s="89">
        <f>IF(F5&gt;0,H5/F5,0)</f>
        <v>0</v>
      </c>
      <c r="K5" s="88">
        <f>K6+K15+K17+K22+K23+K10</f>
        <v>1727</v>
      </c>
      <c r="L5" s="89">
        <f>IF(K5&gt;0,H5/K5,0)</f>
        <v>1.1236826867400116</v>
      </c>
      <c r="M5" s="88">
        <f>M6+M15+M17+M22+M23+M10</f>
        <v>162.9</v>
      </c>
      <c r="N5" s="88">
        <f>N6+N15+N17+N22+N23+N10</f>
        <v>169.1</v>
      </c>
      <c r="O5" s="89">
        <f aca="true" t="shared" si="2" ref="O5:O39">IF(N5&gt;0,M5/N5,0)</f>
        <v>0.9633353045535187</v>
      </c>
      <c r="P5" s="88">
        <f>P6+P15+P17+P22+P23+P10</f>
        <v>63.5</v>
      </c>
      <c r="Q5" s="88">
        <f>Q6+Q15+Q17+Q22+Q23+Q10</f>
        <v>38.9</v>
      </c>
      <c r="R5" s="88">
        <f>R6+R15+R17+R22+R23+R10</f>
        <v>57.00000000000001</v>
      </c>
      <c r="T5" s="25"/>
    </row>
    <row r="6" spans="1:20" ht="18">
      <c r="A6" s="9" t="s">
        <v>62</v>
      </c>
      <c r="B6" s="29">
        <v>1010200001</v>
      </c>
      <c r="C6" s="71">
        <f aca="true" t="shared" si="3" ref="C6:H6">C7+C8+C9</f>
        <v>743.4</v>
      </c>
      <c r="D6" s="71">
        <f t="shared" si="3"/>
        <v>101.3</v>
      </c>
      <c r="E6" s="71">
        <f t="shared" si="3"/>
        <v>844.7</v>
      </c>
      <c r="F6" s="71">
        <f t="shared" si="3"/>
        <v>0</v>
      </c>
      <c r="G6" s="71">
        <f t="shared" si="3"/>
        <v>789.9</v>
      </c>
      <c r="H6" s="71">
        <f t="shared" si="3"/>
        <v>882</v>
      </c>
      <c r="I6" s="86">
        <f t="shared" si="1"/>
        <v>1.0441576891203976</v>
      </c>
      <c r="J6" s="86">
        <f>IF(F6&gt;0,H6/F6,0)</f>
        <v>0</v>
      </c>
      <c r="K6" s="92">
        <f>SUM(K7:K9)</f>
        <v>795.1</v>
      </c>
      <c r="L6" s="86">
        <f aca="true" t="shared" si="4" ref="L6:L39">IF(K6&gt;0,H6/K6,0)</f>
        <v>1.1092944283737893</v>
      </c>
      <c r="M6" s="71">
        <f>M7+M8+M9</f>
        <v>92.1</v>
      </c>
      <c r="N6" s="71">
        <f>N7+N8+N9</f>
        <v>83.39999999999999</v>
      </c>
      <c r="O6" s="86">
        <f t="shared" si="2"/>
        <v>1.10431654676259</v>
      </c>
      <c r="P6" s="71">
        <f>P7+P8+P9</f>
        <v>8.700000000000001</v>
      </c>
      <c r="Q6" s="71">
        <f>Q7+Q8+Q9</f>
        <v>8.700000000000001</v>
      </c>
      <c r="R6" s="71">
        <f>R7+R8+R9</f>
        <v>8.6</v>
      </c>
      <c r="T6" s="25"/>
    </row>
    <row r="7" spans="1:20" ht="21" customHeight="1">
      <c r="A7" s="10" t="s">
        <v>43</v>
      </c>
      <c r="B7" s="13">
        <v>1010201001</v>
      </c>
      <c r="C7" s="70">
        <v>741.6</v>
      </c>
      <c r="D7" s="82">
        <v>103</v>
      </c>
      <c r="E7" s="70">
        <f>C7+D7</f>
        <v>844.6</v>
      </c>
      <c r="F7" s="70"/>
      <c r="G7" s="67">
        <v>789.9</v>
      </c>
      <c r="H7" s="67">
        <f>G7+M7</f>
        <v>881.4</v>
      </c>
      <c r="I7" s="76">
        <f t="shared" si="1"/>
        <v>1.0435709211461046</v>
      </c>
      <c r="J7" s="76">
        <f aca="true" t="shared" si="5" ref="J7:J37">IF(F7&gt;0,H7/F7,0)</f>
        <v>0</v>
      </c>
      <c r="K7" s="67">
        <v>786</v>
      </c>
      <c r="L7" s="76">
        <f t="shared" si="4"/>
        <v>1.1213740458015267</v>
      </c>
      <c r="M7" s="67">
        <v>91.5</v>
      </c>
      <c r="N7" s="67">
        <v>83.1</v>
      </c>
      <c r="O7" s="76">
        <f t="shared" si="2"/>
        <v>1.1010830324909748</v>
      </c>
      <c r="P7" s="70">
        <v>8.4</v>
      </c>
      <c r="Q7" s="70">
        <v>8.4</v>
      </c>
      <c r="R7" s="70">
        <v>8.4</v>
      </c>
      <c r="T7" s="168"/>
    </row>
    <row r="8" spans="1:20" ht="18" customHeight="1">
      <c r="A8" s="10" t="s">
        <v>42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5"/>
        <v>0</v>
      </c>
      <c r="K8" s="70"/>
      <c r="L8" s="76">
        <f>IF(K8&gt;0,H8/K8,0)</f>
        <v>0</v>
      </c>
      <c r="M8" s="70"/>
      <c r="N8" s="70"/>
      <c r="O8" s="76">
        <f t="shared" si="2"/>
        <v>0</v>
      </c>
      <c r="P8" s="70"/>
      <c r="Q8" s="70"/>
      <c r="R8" s="70"/>
      <c r="T8" s="25"/>
    </row>
    <row r="9" spans="1:20" ht="20.25" customHeight="1">
      <c r="A9" s="10" t="s">
        <v>41</v>
      </c>
      <c r="B9" s="13">
        <v>1010203001</v>
      </c>
      <c r="C9" s="70">
        <v>1.8</v>
      </c>
      <c r="D9" s="70">
        <v>-1.7</v>
      </c>
      <c r="E9" s="70">
        <f>C9+D9</f>
        <v>0.10000000000000009</v>
      </c>
      <c r="F9" s="70"/>
      <c r="G9" s="70"/>
      <c r="H9" s="67">
        <f>G9+M9</f>
        <v>0.6</v>
      </c>
      <c r="I9" s="76">
        <f t="shared" si="1"/>
        <v>5.999999999999995</v>
      </c>
      <c r="J9" s="76">
        <f t="shared" si="5"/>
        <v>0</v>
      </c>
      <c r="K9" s="70">
        <v>9.1</v>
      </c>
      <c r="L9" s="76">
        <f t="shared" si="4"/>
        <v>0.06593406593406594</v>
      </c>
      <c r="M9" s="70">
        <v>0.6</v>
      </c>
      <c r="N9" s="70">
        <v>0.3</v>
      </c>
      <c r="O9" s="76">
        <f t="shared" si="2"/>
        <v>2</v>
      </c>
      <c r="P9" s="70">
        <v>0.3</v>
      </c>
      <c r="Q9" s="70">
        <v>0.3</v>
      </c>
      <c r="R9" s="70">
        <v>0.2</v>
      </c>
      <c r="T9" s="25"/>
    </row>
    <row r="10" spans="1:20" ht="16.5" customHeight="1">
      <c r="A10" s="11" t="s">
        <v>47</v>
      </c>
      <c r="B10" s="19">
        <v>1030200001</v>
      </c>
      <c r="C10" s="71">
        <f aca="true" t="shared" si="6" ref="C10:H10">SUM(C11:C14)</f>
        <v>613.3000000000001</v>
      </c>
      <c r="D10" s="71">
        <f t="shared" si="6"/>
        <v>0</v>
      </c>
      <c r="E10" s="71">
        <f t="shared" si="6"/>
        <v>613.3000000000001</v>
      </c>
      <c r="F10" s="71"/>
      <c r="G10" s="71">
        <f>SUM(G11:G14)</f>
        <v>568.8</v>
      </c>
      <c r="H10" s="71">
        <f t="shared" si="6"/>
        <v>624.1999999999999</v>
      </c>
      <c r="I10" s="65">
        <f t="shared" si="1"/>
        <v>1.0177727050383172</v>
      </c>
      <c r="J10" s="65">
        <f>IF(F10&gt;0,H10/F10,0)</f>
        <v>0</v>
      </c>
      <c r="K10" s="71">
        <f>SUM(K11:K14)</f>
        <v>544.9000000000001</v>
      </c>
      <c r="L10" s="65">
        <f t="shared" si="4"/>
        <v>1.1455312901449803</v>
      </c>
      <c r="M10" s="71">
        <f>SUM(M11:M14)</f>
        <v>55.4</v>
      </c>
      <c r="N10" s="71">
        <f>SUM(N11:N14)</f>
        <v>44.400000000000006</v>
      </c>
      <c r="O10" s="65">
        <f t="shared" si="2"/>
        <v>1.2477477477477477</v>
      </c>
      <c r="P10" s="71">
        <f>SUM(P11:P14)</f>
        <v>0</v>
      </c>
      <c r="Q10" s="71">
        <f>SUM(Q11:Q14)</f>
        <v>0</v>
      </c>
      <c r="R10" s="71">
        <f>SUM(R11:R14)</f>
        <v>0</v>
      </c>
      <c r="T10" s="25"/>
    </row>
    <row r="11" spans="1:20" ht="20.25" customHeight="1">
      <c r="A11" s="12" t="s">
        <v>48</v>
      </c>
      <c r="B11" s="12">
        <v>1030223101</v>
      </c>
      <c r="C11" s="70">
        <v>281.6</v>
      </c>
      <c r="D11" s="70"/>
      <c r="E11" s="66">
        <f>C11+D11</f>
        <v>281.6</v>
      </c>
      <c r="F11" s="66"/>
      <c r="G11" s="70">
        <v>260.7</v>
      </c>
      <c r="H11" s="68">
        <f>G11+M11</f>
        <v>288.09999999999997</v>
      </c>
      <c r="I11" s="69">
        <f t="shared" si="1"/>
        <v>1.0230823863636362</v>
      </c>
      <c r="J11" s="69">
        <f>IF(F11&gt;0,H11/F11,0)</f>
        <v>0</v>
      </c>
      <c r="K11" s="70">
        <v>251.4</v>
      </c>
      <c r="L11" s="69">
        <f t="shared" si="4"/>
        <v>1.1459824980111375</v>
      </c>
      <c r="M11" s="70">
        <v>27.4</v>
      </c>
      <c r="N11" s="70">
        <v>20.8</v>
      </c>
      <c r="O11" s="69">
        <f t="shared" si="2"/>
        <v>1.3173076923076923</v>
      </c>
      <c r="P11" s="70"/>
      <c r="Q11" s="70"/>
      <c r="R11" s="70"/>
      <c r="T11" s="25"/>
    </row>
    <row r="12" spans="1:20" ht="18" customHeight="1">
      <c r="A12" s="12" t="s">
        <v>49</v>
      </c>
      <c r="B12" s="12">
        <v>1030224101</v>
      </c>
      <c r="C12" s="70">
        <v>1.6</v>
      </c>
      <c r="D12" s="70"/>
      <c r="E12" s="66">
        <f>C12+D12</f>
        <v>1.6</v>
      </c>
      <c r="F12" s="66"/>
      <c r="G12" s="70">
        <v>1.8</v>
      </c>
      <c r="H12" s="68">
        <f>G12+M12</f>
        <v>2</v>
      </c>
      <c r="I12" s="69">
        <f t="shared" si="1"/>
        <v>1.25</v>
      </c>
      <c r="J12" s="69">
        <f>IF(F12&gt;0,H12/F12,0)</f>
        <v>0</v>
      </c>
      <c r="K12" s="70">
        <v>1.8</v>
      </c>
      <c r="L12" s="69">
        <f t="shared" si="4"/>
        <v>1.1111111111111112</v>
      </c>
      <c r="M12" s="70">
        <v>0.2</v>
      </c>
      <c r="N12" s="70">
        <v>0.1</v>
      </c>
      <c r="O12" s="69">
        <f t="shared" si="2"/>
        <v>2</v>
      </c>
      <c r="P12" s="70"/>
      <c r="Q12" s="70"/>
      <c r="R12" s="70"/>
      <c r="T12" s="25"/>
    </row>
    <row r="13" spans="1:20" ht="18" customHeight="1">
      <c r="A13" s="12" t="s">
        <v>50</v>
      </c>
      <c r="B13" s="12">
        <v>1030225101</v>
      </c>
      <c r="C13" s="70">
        <v>370.4</v>
      </c>
      <c r="D13" s="70"/>
      <c r="E13" s="66">
        <f>C13+D13</f>
        <v>370.4</v>
      </c>
      <c r="F13" s="66"/>
      <c r="G13" s="70">
        <v>350.5</v>
      </c>
      <c r="H13" s="68">
        <f>G13+M13</f>
        <v>383.2</v>
      </c>
      <c r="I13" s="69">
        <f t="shared" si="1"/>
        <v>1.0345572354211663</v>
      </c>
      <c r="J13" s="69">
        <f>IF(F13&gt;0,H13/F13,0)</f>
        <v>0</v>
      </c>
      <c r="K13" s="70">
        <v>338</v>
      </c>
      <c r="L13" s="69">
        <f t="shared" si="4"/>
        <v>1.1337278106508875</v>
      </c>
      <c r="M13" s="70">
        <v>32.7</v>
      </c>
      <c r="N13" s="70">
        <v>28.3</v>
      </c>
      <c r="O13" s="69">
        <f t="shared" si="2"/>
        <v>1.1554770318021201</v>
      </c>
      <c r="P13" s="70"/>
      <c r="Q13" s="70"/>
      <c r="R13" s="70"/>
      <c r="T13" s="25"/>
    </row>
    <row r="14" spans="1:20" ht="19.5" customHeight="1">
      <c r="A14" s="12" t="s">
        <v>51</v>
      </c>
      <c r="B14" s="12">
        <v>1030226101</v>
      </c>
      <c r="C14" s="70">
        <v>-40.3</v>
      </c>
      <c r="D14" s="70"/>
      <c r="E14" s="66">
        <f>C14+D14</f>
        <v>-40.3</v>
      </c>
      <c r="F14" s="66"/>
      <c r="G14" s="70">
        <v>-44.2</v>
      </c>
      <c r="H14" s="68">
        <f>G14+M14</f>
        <v>-49.1</v>
      </c>
      <c r="I14" s="69">
        <f>H14/E14</f>
        <v>1.218362282878412</v>
      </c>
      <c r="J14" s="69">
        <f>IF(F14&gt;0,H14/F14,0)</f>
        <v>0</v>
      </c>
      <c r="K14" s="70">
        <v>-46.3</v>
      </c>
      <c r="L14" s="69">
        <f t="shared" si="4"/>
        <v>0</v>
      </c>
      <c r="M14" s="70">
        <v>-4.9</v>
      </c>
      <c r="N14" s="70">
        <v>-4.8</v>
      </c>
      <c r="O14" s="69">
        <f t="shared" si="2"/>
        <v>0</v>
      </c>
      <c r="P14" s="70"/>
      <c r="Q14" s="70"/>
      <c r="R14" s="70"/>
      <c r="T14" s="25"/>
    </row>
    <row r="15" spans="1:20" ht="18">
      <c r="A15" s="9" t="s">
        <v>69</v>
      </c>
      <c r="B15" s="29">
        <v>1050000000</v>
      </c>
      <c r="C15" s="71">
        <f aca="true" t="shared" si="7" ref="C15:H15">C16</f>
        <v>125</v>
      </c>
      <c r="D15" s="72">
        <f t="shared" si="7"/>
        <v>57.8</v>
      </c>
      <c r="E15" s="72">
        <f t="shared" si="7"/>
        <v>182.8</v>
      </c>
      <c r="F15" s="72">
        <f t="shared" si="7"/>
        <v>0</v>
      </c>
      <c r="G15" s="71">
        <f>G16</f>
        <v>182.9</v>
      </c>
      <c r="H15" s="72">
        <f t="shared" si="7"/>
        <v>182.9</v>
      </c>
      <c r="I15" s="86">
        <f t="shared" si="1"/>
        <v>1.00054704595186</v>
      </c>
      <c r="J15" s="86">
        <f t="shared" si="5"/>
        <v>0</v>
      </c>
      <c r="K15" s="71">
        <f>K16</f>
        <v>120.9</v>
      </c>
      <c r="L15" s="86">
        <f t="shared" si="4"/>
        <v>1.5128205128205128</v>
      </c>
      <c r="M15" s="71">
        <f>M16</f>
        <v>0</v>
      </c>
      <c r="N15" s="71">
        <f>N16</f>
        <v>0</v>
      </c>
      <c r="O15" s="86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  <c r="T15" s="25"/>
    </row>
    <row r="16" spans="1:20" ht="18">
      <c r="A16" s="13" t="s">
        <v>7</v>
      </c>
      <c r="B16" s="13">
        <v>1050300001</v>
      </c>
      <c r="C16" s="70">
        <v>125</v>
      </c>
      <c r="D16" s="67">
        <v>57.8</v>
      </c>
      <c r="E16" s="70">
        <f>C16+D16</f>
        <v>182.8</v>
      </c>
      <c r="F16" s="70"/>
      <c r="G16" s="70">
        <v>182.9</v>
      </c>
      <c r="H16" s="67">
        <f>G16+M16</f>
        <v>182.9</v>
      </c>
      <c r="I16" s="76">
        <f t="shared" si="1"/>
        <v>1.00054704595186</v>
      </c>
      <c r="J16" s="76">
        <f t="shared" si="5"/>
        <v>0</v>
      </c>
      <c r="K16" s="70">
        <v>120.9</v>
      </c>
      <c r="L16" s="76">
        <f t="shared" si="4"/>
        <v>1.5128205128205128</v>
      </c>
      <c r="M16" s="70"/>
      <c r="N16" s="70"/>
      <c r="O16" s="76">
        <f t="shared" si="2"/>
        <v>0</v>
      </c>
      <c r="P16" s="70"/>
      <c r="Q16" s="70"/>
      <c r="R16" s="70"/>
      <c r="T16" s="25"/>
    </row>
    <row r="17" spans="1:20" ht="18">
      <c r="A17" s="9" t="s">
        <v>70</v>
      </c>
      <c r="B17" s="29">
        <v>1060000000</v>
      </c>
      <c r="C17" s="71">
        <f aca="true" t="shared" si="8" ref="C17:H17">C18+C21</f>
        <v>254</v>
      </c>
      <c r="D17" s="72">
        <f t="shared" si="8"/>
        <v>0</v>
      </c>
      <c r="E17" s="72">
        <f t="shared" si="8"/>
        <v>254</v>
      </c>
      <c r="F17" s="72">
        <f t="shared" si="8"/>
        <v>0</v>
      </c>
      <c r="G17" s="71">
        <f>G18+G21</f>
        <v>229.8</v>
      </c>
      <c r="H17" s="72">
        <f t="shared" si="8"/>
        <v>244.3</v>
      </c>
      <c r="I17" s="86">
        <f t="shared" si="1"/>
        <v>0.9618110236220473</v>
      </c>
      <c r="J17" s="86">
        <f t="shared" si="5"/>
        <v>0</v>
      </c>
      <c r="K17" s="71">
        <f>K18+K21</f>
        <v>250.1</v>
      </c>
      <c r="L17" s="86">
        <f t="shared" si="4"/>
        <v>0.9768092762894842</v>
      </c>
      <c r="M17" s="71">
        <f>M18+M21</f>
        <v>14.5</v>
      </c>
      <c r="N17" s="71">
        <f>N18+N21</f>
        <v>40</v>
      </c>
      <c r="O17" s="86">
        <f t="shared" si="2"/>
        <v>0.3625</v>
      </c>
      <c r="P17" s="71">
        <f>P18+P21</f>
        <v>54.8</v>
      </c>
      <c r="Q17" s="71">
        <f>Q18+Q21</f>
        <v>30.2</v>
      </c>
      <c r="R17" s="71">
        <f>R18+R21</f>
        <v>48.400000000000006</v>
      </c>
      <c r="T17" s="25"/>
    </row>
    <row r="18" spans="1:20" ht="18">
      <c r="A18" s="13" t="s">
        <v>13</v>
      </c>
      <c r="B18" s="13">
        <v>1060600000</v>
      </c>
      <c r="C18" s="70">
        <f aca="true" t="shared" si="9" ref="C18:H18">C19+C20</f>
        <v>189</v>
      </c>
      <c r="D18" s="67">
        <f t="shared" si="9"/>
        <v>0</v>
      </c>
      <c r="E18" s="67">
        <f t="shared" si="9"/>
        <v>189</v>
      </c>
      <c r="F18" s="67">
        <f t="shared" si="9"/>
        <v>0</v>
      </c>
      <c r="G18" s="67">
        <f>G19+G20</f>
        <v>180.9</v>
      </c>
      <c r="H18" s="67">
        <f t="shared" si="9"/>
        <v>187.60000000000002</v>
      </c>
      <c r="I18" s="76">
        <f t="shared" si="1"/>
        <v>0.9925925925925927</v>
      </c>
      <c r="J18" s="76">
        <f t="shared" si="5"/>
        <v>0</v>
      </c>
      <c r="K18" s="67">
        <f>K19+K20</f>
        <v>189</v>
      </c>
      <c r="L18" s="76">
        <f t="shared" si="4"/>
        <v>0.9925925925925927</v>
      </c>
      <c r="M18" s="67">
        <f>M19+M20</f>
        <v>6.7</v>
      </c>
      <c r="N18" s="67">
        <f>N19+N20</f>
        <v>32</v>
      </c>
      <c r="O18" s="76">
        <f t="shared" si="2"/>
        <v>0.209375</v>
      </c>
      <c r="P18" s="70">
        <f>P19+P20</f>
        <v>34.8</v>
      </c>
      <c r="Q18" s="70">
        <f>Q19+Q20</f>
        <v>20.7</v>
      </c>
      <c r="R18" s="70">
        <f>R19+R20</f>
        <v>34.2</v>
      </c>
      <c r="T18" s="25"/>
    </row>
    <row r="19" spans="1:20" ht="18">
      <c r="A19" s="13" t="s">
        <v>99</v>
      </c>
      <c r="B19" s="13">
        <v>1060603310</v>
      </c>
      <c r="C19" s="70">
        <v>85</v>
      </c>
      <c r="D19" s="67">
        <v>12</v>
      </c>
      <c r="E19" s="70">
        <f>C19+D19</f>
        <v>97</v>
      </c>
      <c r="F19" s="70"/>
      <c r="G19" s="70">
        <v>96.2</v>
      </c>
      <c r="H19" s="67">
        <f>G19+M19</f>
        <v>96.60000000000001</v>
      </c>
      <c r="I19" s="76">
        <f t="shared" si="1"/>
        <v>0.9958762886597939</v>
      </c>
      <c r="J19" s="76">
        <f t="shared" si="5"/>
        <v>0</v>
      </c>
      <c r="K19" s="70">
        <v>80.4</v>
      </c>
      <c r="L19" s="76">
        <f t="shared" si="4"/>
        <v>1.2014925373134329</v>
      </c>
      <c r="M19" s="70">
        <v>0.4</v>
      </c>
      <c r="N19" s="70">
        <v>24.9</v>
      </c>
      <c r="O19" s="76">
        <f t="shared" si="2"/>
        <v>0.016064257028112452</v>
      </c>
      <c r="P19" s="70"/>
      <c r="Q19" s="70"/>
      <c r="R19" s="70"/>
      <c r="T19" s="25"/>
    </row>
    <row r="20" spans="1:20" ht="18">
      <c r="A20" s="13" t="s">
        <v>100</v>
      </c>
      <c r="B20" s="13">
        <v>1060604310</v>
      </c>
      <c r="C20" s="70">
        <v>104</v>
      </c>
      <c r="D20" s="67">
        <v>-12</v>
      </c>
      <c r="E20" s="70">
        <f>C20+D20</f>
        <v>92</v>
      </c>
      <c r="F20" s="70"/>
      <c r="G20" s="70">
        <v>84.7</v>
      </c>
      <c r="H20" s="67">
        <f>G20+M20</f>
        <v>91</v>
      </c>
      <c r="I20" s="76">
        <f t="shared" si="1"/>
        <v>0.9891304347826086</v>
      </c>
      <c r="J20" s="76">
        <f t="shared" si="5"/>
        <v>0</v>
      </c>
      <c r="K20" s="70">
        <v>108.6</v>
      </c>
      <c r="L20" s="76">
        <f t="shared" si="4"/>
        <v>0.837937384898711</v>
      </c>
      <c r="M20" s="70">
        <v>6.3</v>
      </c>
      <c r="N20" s="70">
        <v>7.1</v>
      </c>
      <c r="O20" s="76">
        <f t="shared" si="2"/>
        <v>0.8873239436619719</v>
      </c>
      <c r="P20" s="70">
        <v>34.8</v>
      </c>
      <c r="Q20" s="70">
        <v>20.7</v>
      </c>
      <c r="R20" s="70">
        <v>34.2</v>
      </c>
      <c r="T20" s="25"/>
    </row>
    <row r="21" spans="1:20" ht="18">
      <c r="A21" s="13" t="s">
        <v>12</v>
      </c>
      <c r="B21" s="13">
        <v>1060103010</v>
      </c>
      <c r="C21" s="70">
        <v>65</v>
      </c>
      <c r="D21" s="67"/>
      <c r="E21" s="70">
        <f>C21+D21</f>
        <v>65</v>
      </c>
      <c r="F21" s="70"/>
      <c r="G21" s="70">
        <v>48.9</v>
      </c>
      <c r="H21" s="67">
        <f>G21+M21</f>
        <v>56.699999999999996</v>
      </c>
      <c r="I21" s="76">
        <f t="shared" si="1"/>
        <v>0.8723076923076922</v>
      </c>
      <c r="J21" s="76">
        <f t="shared" si="5"/>
        <v>0</v>
      </c>
      <c r="K21" s="70">
        <v>61.1</v>
      </c>
      <c r="L21" s="76">
        <f t="shared" si="4"/>
        <v>0.9279869067103109</v>
      </c>
      <c r="M21" s="70">
        <v>7.8</v>
      </c>
      <c r="N21" s="70">
        <v>8</v>
      </c>
      <c r="O21" s="76">
        <f t="shared" si="2"/>
        <v>0.975</v>
      </c>
      <c r="P21" s="70">
        <v>20</v>
      </c>
      <c r="Q21" s="70">
        <v>9.5</v>
      </c>
      <c r="R21" s="70">
        <v>14.2</v>
      </c>
      <c r="T21" s="168"/>
    </row>
    <row r="22" spans="1:20" ht="17.25" customHeight="1">
      <c r="A22" s="9" t="s">
        <v>71</v>
      </c>
      <c r="B22" s="29">
        <v>1080402001</v>
      </c>
      <c r="C22" s="71">
        <v>5</v>
      </c>
      <c r="D22" s="72">
        <f>10-8</f>
        <v>2</v>
      </c>
      <c r="E22" s="71">
        <f>C22+D22</f>
        <v>7</v>
      </c>
      <c r="F22" s="71"/>
      <c r="G22" s="71">
        <v>6.3</v>
      </c>
      <c r="H22" s="72">
        <f>G22+M22</f>
        <v>7.2</v>
      </c>
      <c r="I22" s="86">
        <f t="shared" si="1"/>
        <v>1.0285714285714287</v>
      </c>
      <c r="J22" s="86">
        <f t="shared" si="5"/>
        <v>0</v>
      </c>
      <c r="K22" s="71">
        <v>16</v>
      </c>
      <c r="L22" s="86">
        <f t="shared" si="4"/>
        <v>0.45</v>
      </c>
      <c r="M22" s="71">
        <v>0.9</v>
      </c>
      <c r="N22" s="71">
        <v>1.3</v>
      </c>
      <c r="O22" s="86">
        <f t="shared" si="2"/>
        <v>0.6923076923076923</v>
      </c>
      <c r="P22" s="71"/>
      <c r="Q22" s="71"/>
      <c r="R22" s="71"/>
      <c r="T22" s="25"/>
    </row>
    <row r="23" spans="1:20" ht="18" hidden="1">
      <c r="A23" s="9" t="s">
        <v>72</v>
      </c>
      <c r="B23" s="29">
        <v>1090405010</v>
      </c>
      <c r="C23" s="71"/>
      <c r="D23" s="71"/>
      <c r="E23" s="71">
        <f>C23+D23</f>
        <v>0</v>
      </c>
      <c r="F23" s="71"/>
      <c r="G23" s="71"/>
      <c r="H23" s="72">
        <f>G23+M23</f>
        <v>0</v>
      </c>
      <c r="I23" s="86">
        <f t="shared" si="1"/>
        <v>0</v>
      </c>
      <c r="J23" s="86">
        <f t="shared" si="5"/>
        <v>0</v>
      </c>
      <c r="K23" s="71"/>
      <c r="L23" s="86">
        <f t="shared" si="4"/>
        <v>0</v>
      </c>
      <c r="M23" s="71"/>
      <c r="N23" s="71"/>
      <c r="O23" s="86">
        <f t="shared" si="2"/>
        <v>0</v>
      </c>
      <c r="P23" s="71"/>
      <c r="Q23" s="71"/>
      <c r="R23" s="71"/>
      <c r="T23" s="25"/>
    </row>
    <row r="24" spans="1:20" ht="18">
      <c r="A24" s="31" t="s">
        <v>22</v>
      </c>
      <c r="B24" s="31"/>
      <c r="C24" s="85">
        <f aca="true" t="shared" si="10" ref="C24:H24">C25+C28+C32+C29+C31+C30</f>
        <v>900</v>
      </c>
      <c r="D24" s="85">
        <f t="shared" si="10"/>
        <v>1581.247</v>
      </c>
      <c r="E24" s="85">
        <f t="shared" si="10"/>
        <v>2481.2470000000003</v>
      </c>
      <c r="F24" s="85">
        <f t="shared" si="10"/>
        <v>0</v>
      </c>
      <c r="G24" s="85">
        <f>G25+G28+G32+G29+G31+G30</f>
        <v>680.0999999999999</v>
      </c>
      <c r="H24" s="85">
        <f t="shared" si="10"/>
        <v>882.3999999999999</v>
      </c>
      <c r="I24" s="89">
        <f t="shared" si="1"/>
        <v>0.3556276340082224</v>
      </c>
      <c r="J24" s="89">
        <f t="shared" si="5"/>
        <v>0</v>
      </c>
      <c r="K24" s="85">
        <f>K25+K28+K32+K29+K31+K30</f>
        <v>788.5</v>
      </c>
      <c r="L24" s="89">
        <f t="shared" si="4"/>
        <v>1.1190868738110333</v>
      </c>
      <c r="M24" s="85">
        <f>M25+M28+M32+M29+M31+M30</f>
        <v>202.3</v>
      </c>
      <c r="N24" s="85">
        <f>N25+N28+N32+N29+N31+N30</f>
        <v>106.89999999999999</v>
      </c>
      <c r="O24" s="89">
        <f t="shared" si="2"/>
        <v>1.8924228250701594</v>
      </c>
      <c r="P24" s="75">
        <f>P25+P28+P32+P29</f>
        <v>0</v>
      </c>
      <c r="Q24" s="75">
        <f>Q25+Q28+Q32+Q29</f>
        <v>0</v>
      </c>
      <c r="R24" s="75">
        <f>R25+R28+R32+R29</f>
        <v>0</v>
      </c>
      <c r="T24" s="25"/>
    </row>
    <row r="25" spans="1:20" ht="18">
      <c r="A25" s="9" t="s">
        <v>73</v>
      </c>
      <c r="B25" s="29">
        <v>1110000000</v>
      </c>
      <c r="C25" s="71">
        <f aca="true" t="shared" si="11" ref="C25:H25">C26+C27</f>
        <v>100</v>
      </c>
      <c r="D25" s="71">
        <f t="shared" si="11"/>
        <v>713.949</v>
      </c>
      <c r="E25" s="71">
        <f t="shared" si="11"/>
        <v>813.949</v>
      </c>
      <c r="F25" s="71">
        <f t="shared" si="11"/>
        <v>0</v>
      </c>
      <c r="G25" s="71">
        <f>G26+G27</f>
        <v>91.5</v>
      </c>
      <c r="H25" s="71">
        <f t="shared" si="11"/>
        <v>113.9</v>
      </c>
      <c r="I25" s="86">
        <f t="shared" si="1"/>
        <v>0.13993505735617343</v>
      </c>
      <c r="J25" s="86">
        <f t="shared" si="5"/>
        <v>0</v>
      </c>
      <c r="K25" s="71">
        <f>K26+K27</f>
        <v>101.2</v>
      </c>
      <c r="L25" s="86">
        <f t="shared" si="4"/>
        <v>1.1254940711462451</v>
      </c>
      <c r="M25" s="71">
        <f>M26+M27</f>
        <v>22.4</v>
      </c>
      <c r="N25" s="71">
        <f>N26+N27</f>
        <v>8.5</v>
      </c>
      <c r="O25" s="86">
        <f t="shared" si="2"/>
        <v>2.635294117647059</v>
      </c>
      <c r="P25" s="71">
        <f>P26+P27</f>
        <v>0</v>
      </c>
      <c r="Q25" s="71">
        <f>Q26+Q27</f>
        <v>0</v>
      </c>
      <c r="R25" s="71">
        <f>R26+R27</f>
        <v>0</v>
      </c>
      <c r="T25" s="25"/>
    </row>
    <row r="26" spans="1:20" ht="19.5" customHeight="1">
      <c r="A26" s="13" t="s">
        <v>105</v>
      </c>
      <c r="B26" s="13">
        <v>1110502510</v>
      </c>
      <c r="C26" s="70"/>
      <c r="D26" s="67"/>
      <c r="E26" s="70">
        <f aca="true" t="shared" si="12" ref="E26:E31">C26+D26</f>
        <v>0</v>
      </c>
      <c r="F26" s="70"/>
      <c r="G26" s="70"/>
      <c r="H26" s="67">
        <f aca="true" t="shared" si="13" ref="H26:H31">G26+M26</f>
        <v>0</v>
      </c>
      <c r="I26" s="76">
        <f t="shared" si="1"/>
        <v>0</v>
      </c>
      <c r="J26" s="76">
        <f t="shared" si="5"/>
        <v>0</v>
      </c>
      <c r="K26" s="70"/>
      <c r="L26" s="76">
        <f t="shared" si="4"/>
        <v>0</v>
      </c>
      <c r="M26" s="70"/>
      <c r="N26" s="70"/>
      <c r="O26" s="76">
        <f t="shared" si="2"/>
        <v>0</v>
      </c>
      <c r="P26" s="70"/>
      <c r="Q26" s="70"/>
      <c r="R26" s="70"/>
      <c r="T26" s="25"/>
    </row>
    <row r="27" spans="1:20" ht="18">
      <c r="A27" s="32" t="s">
        <v>23</v>
      </c>
      <c r="B27" s="13">
        <v>1110904510</v>
      </c>
      <c r="C27" s="70">
        <v>100</v>
      </c>
      <c r="D27" s="82">
        <f>800-86.051</f>
        <v>713.949</v>
      </c>
      <c r="E27" s="70">
        <f t="shared" si="12"/>
        <v>813.949</v>
      </c>
      <c r="F27" s="70"/>
      <c r="G27" s="70">
        <v>91.5</v>
      </c>
      <c r="H27" s="67">
        <f t="shared" si="13"/>
        <v>113.9</v>
      </c>
      <c r="I27" s="76">
        <f t="shared" si="1"/>
        <v>0.13993505735617343</v>
      </c>
      <c r="J27" s="76">
        <f t="shared" si="5"/>
        <v>0</v>
      </c>
      <c r="K27" s="70">
        <v>101.2</v>
      </c>
      <c r="L27" s="76">
        <f t="shared" si="4"/>
        <v>1.1254940711462451</v>
      </c>
      <c r="M27" s="70">
        <v>22.4</v>
      </c>
      <c r="N27" s="70">
        <v>8.5</v>
      </c>
      <c r="O27" s="76">
        <f t="shared" si="2"/>
        <v>2.635294117647059</v>
      </c>
      <c r="P27" s="70"/>
      <c r="Q27" s="70"/>
      <c r="R27" s="70"/>
      <c r="T27" s="25"/>
    </row>
    <row r="28" spans="1:20" ht="18">
      <c r="A28" s="9" t="s">
        <v>38</v>
      </c>
      <c r="B28" s="29">
        <v>1130299510</v>
      </c>
      <c r="C28" s="71">
        <v>800</v>
      </c>
      <c r="D28" s="71">
        <f>1064.577-633.9+8.7+500-80</f>
        <v>859.377</v>
      </c>
      <c r="E28" s="71">
        <f t="shared" si="12"/>
        <v>1659.377</v>
      </c>
      <c r="F28" s="71"/>
      <c r="G28" s="71">
        <v>581.3</v>
      </c>
      <c r="H28" s="72">
        <f t="shared" si="13"/>
        <v>760.3</v>
      </c>
      <c r="I28" s="86">
        <f t="shared" si="1"/>
        <v>0.4581840052019523</v>
      </c>
      <c r="J28" s="86">
        <f t="shared" si="5"/>
        <v>0</v>
      </c>
      <c r="K28" s="71">
        <v>686.3</v>
      </c>
      <c r="L28" s="86">
        <f t="shared" si="4"/>
        <v>1.1078245665161008</v>
      </c>
      <c r="M28" s="71">
        <v>179</v>
      </c>
      <c r="N28" s="71">
        <v>97.8</v>
      </c>
      <c r="O28" s="86">
        <f t="shared" si="2"/>
        <v>1.8302658486707566</v>
      </c>
      <c r="P28" s="71"/>
      <c r="Q28" s="71"/>
      <c r="R28" s="71"/>
      <c r="T28" s="25"/>
    </row>
    <row r="29" spans="1:20" ht="18">
      <c r="A29" s="9" t="s">
        <v>75</v>
      </c>
      <c r="B29" s="29">
        <v>1140601410</v>
      </c>
      <c r="C29" s="71"/>
      <c r="D29" s="71"/>
      <c r="E29" s="71">
        <f t="shared" si="12"/>
        <v>0</v>
      </c>
      <c r="F29" s="71"/>
      <c r="G29" s="71"/>
      <c r="H29" s="72">
        <f t="shared" si="13"/>
        <v>0</v>
      </c>
      <c r="I29" s="86">
        <f>IF(E29&gt;0,H29/E29,0)</f>
        <v>0</v>
      </c>
      <c r="J29" s="86">
        <f>IF(F29&gt;0,H29/F29,0)</f>
        <v>0</v>
      </c>
      <c r="K29" s="71"/>
      <c r="L29" s="86">
        <f t="shared" si="4"/>
        <v>0</v>
      </c>
      <c r="M29" s="71"/>
      <c r="N29" s="71"/>
      <c r="O29" s="86">
        <f t="shared" si="2"/>
        <v>0</v>
      </c>
      <c r="P29" s="71"/>
      <c r="Q29" s="71"/>
      <c r="R29" s="71"/>
      <c r="T29" s="25"/>
    </row>
    <row r="30" spans="1:20" ht="18">
      <c r="A30" s="9" t="s">
        <v>74</v>
      </c>
      <c r="B30" s="29">
        <v>1140205310</v>
      </c>
      <c r="C30" s="71"/>
      <c r="D30" s="71"/>
      <c r="E30" s="71">
        <f t="shared" si="12"/>
        <v>0</v>
      </c>
      <c r="F30" s="71"/>
      <c r="G30" s="71"/>
      <c r="H30" s="72">
        <f t="shared" si="13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4"/>
        <v>0</v>
      </c>
      <c r="M30" s="71"/>
      <c r="N30" s="71"/>
      <c r="O30" s="86">
        <f t="shared" si="2"/>
        <v>0</v>
      </c>
      <c r="P30" s="71"/>
      <c r="Q30" s="71"/>
      <c r="R30" s="71"/>
      <c r="T30" s="25"/>
    </row>
    <row r="31" spans="1:20" ht="18">
      <c r="A31" s="9" t="s">
        <v>78</v>
      </c>
      <c r="B31" s="29">
        <v>1169005010</v>
      </c>
      <c r="C31" s="71"/>
      <c r="D31" s="71">
        <v>7.26</v>
      </c>
      <c r="E31" s="71">
        <f t="shared" si="12"/>
        <v>7.26</v>
      </c>
      <c r="F31" s="71"/>
      <c r="G31" s="71">
        <v>7.3</v>
      </c>
      <c r="H31" s="72">
        <f t="shared" si="13"/>
        <v>7.3</v>
      </c>
      <c r="I31" s="86">
        <f>IF(E31&gt;0,H31/E31,0)</f>
        <v>1.0055096418732783</v>
      </c>
      <c r="J31" s="86">
        <f>IF(F31&gt;0,H31/F31,0)</f>
        <v>0</v>
      </c>
      <c r="K31" s="71">
        <v>0.6</v>
      </c>
      <c r="L31" s="86">
        <f t="shared" si="4"/>
        <v>12.166666666666666</v>
      </c>
      <c r="M31" s="71"/>
      <c r="N31" s="71">
        <v>0.6</v>
      </c>
      <c r="O31" s="86">
        <f t="shared" si="2"/>
        <v>0</v>
      </c>
      <c r="P31" s="71"/>
      <c r="Q31" s="71"/>
      <c r="R31" s="71"/>
      <c r="T31" s="25"/>
    </row>
    <row r="32" spans="1:20" ht="18">
      <c r="A32" s="9" t="s">
        <v>68</v>
      </c>
      <c r="B32" s="29">
        <v>1170000000</v>
      </c>
      <c r="C32" s="71">
        <f>SUM(C33:C34)</f>
        <v>0</v>
      </c>
      <c r="D32" s="71">
        <f aca="true" t="shared" si="14" ref="D32:R32">SUM(D33:D34)</f>
        <v>0.661</v>
      </c>
      <c r="E32" s="71">
        <f t="shared" si="14"/>
        <v>0.661</v>
      </c>
      <c r="F32" s="71">
        <f t="shared" si="14"/>
        <v>0</v>
      </c>
      <c r="G32" s="71">
        <f>SUM(G33:G34)</f>
        <v>0</v>
      </c>
      <c r="H32" s="71">
        <f t="shared" si="14"/>
        <v>0.9</v>
      </c>
      <c r="I32" s="86">
        <f>IF(E32&gt;0,H32/E32,0)</f>
        <v>1.361573373676248</v>
      </c>
      <c r="J32" s="86">
        <f>IF(F32&gt;0,H32/F32,0)</f>
        <v>0</v>
      </c>
      <c r="K32" s="71">
        <f>SUM(K33:K34)</f>
        <v>0.4</v>
      </c>
      <c r="L32" s="86">
        <f t="shared" si="4"/>
        <v>2.25</v>
      </c>
      <c r="M32" s="71">
        <f t="shared" si="14"/>
        <v>0.9</v>
      </c>
      <c r="N32" s="71">
        <f t="shared" si="14"/>
        <v>0</v>
      </c>
      <c r="O32" s="86">
        <f t="shared" si="2"/>
        <v>0</v>
      </c>
      <c r="P32" s="71">
        <f t="shared" si="14"/>
        <v>0</v>
      </c>
      <c r="Q32" s="71">
        <f>SUM(Q33:Q34)</f>
        <v>0</v>
      </c>
      <c r="R32" s="71">
        <f t="shared" si="14"/>
        <v>0</v>
      </c>
      <c r="T32" s="25"/>
    </row>
    <row r="33" spans="1:20" ht="18">
      <c r="A33" s="13" t="s">
        <v>8</v>
      </c>
      <c r="B33" s="13">
        <v>1170103003</v>
      </c>
      <c r="C33" s="70"/>
      <c r="D33" s="70"/>
      <c r="E33" s="70">
        <f>C33+D33</f>
        <v>0</v>
      </c>
      <c r="F33" s="70"/>
      <c r="G33" s="70"/>
      <c r="H33" s="67">
        <f>G33+M33</f>
        <v>0</v>
      </c>
      <c r="I33" s="76">
        <f t="shared" si="1"/>
        <v>0</v>
      </c>
      <c r="J33" s="76">
        <f t="shared" si="5"/>
        <v>0</v>
      </c>
      <c r="K33" s="70"/>
      <c r="L33" s="76">
        <f t="shared" si="4"/>
        <v>0</v>
      </c>
      <c r="M33" s="70"/>
      <c r="N33" s="70"/>
      <c r="O33" s="76">
        <f t="shared" si="2"/>
        <v>0</v>
      </c>
      <c r="P33" s="76"/>
      <c r="Q33" s="76"/>
      <c r="R33" s="76"/>
      <c r="T33" s="25"/>
    </row>
    <row r="34" spans="1:20" ht="18">
      <c r="A34" s="13" t="s">
        <v>33</v>
      </c>
      <c r="B34" s="13">
        <v>1170505010</v>
      </c>
      <c r="C34" s="70"/>
      <c r="D34" s="67">
        <v>0.661</v>
      </c>
      <c r="E34" s="70">
        <f>C34+D34</f>
        <v>0.661</v>
      </c>
      <c r="F34" s="70"/>
      <c r="G34" s="70"/>
      <c r="H34" s="67">
        <f>G34+M34</f>
        <v>0.9</v>
      </c>
      <c r="I34" s="76">
        <f>IF(E34&gt;0,H34/E34,0)</f>
        <v>1.361573373676248</v>
      </c>
      <c r="J34" s="76">
        <f>IF(F34&gt;0,H34/F34,0)</f>
        <v>0</v>
      </c>
      <c r="K34" s="70">
        <v>0.4</v>
      </c>
      <c r="L34" s="76">
        <f>IF(K34&gt;0,H34/K34,0)</f>
        <v>2.25</v>
      </c>
      <c r="M34" s="70">
        <v>0.9</v>
      </c>
      <c r="N34" s="70"/>
      <c r="O34" s="76">
        <f>IF(N34&gt;0,M34/N34,0)</f>
        <v>0</v>
      </c>
      <c r="P34" s="70"/>
      <c r="Q34" s="70"/>
      <c r="R34" s="70"/>
      <c r="T34" s="25"/>
    </row>
    <row r="35" spans="1:20" ht="18">
      <c r="A35" s="9" t="s">
        <v>6</v>
      </c>
      <c r="B35" s="9">
        <v>1000000000</v>
      </c>
      <c r="C35" s="78">
        <f aca="true" t="shared" si="15" ref="C35:H35">C5+C24</f>
        <v>2640.7000000000003</v>
      </c>
      <c r="D35" s="77">
        <f t="shared" si="15"/>
        <v>1742.347</v>
      </c>
      <c r="E35" s="77">
        <f t="shared" si="15"/>
        <v>4383.0470000000005</v>
      </c>
      <c r="F35" s="78">
        <f t="shared" si="15"/>
        <v>0</v>
      </c>
      <c r="G35" s="78">
        <f>G5+G24</f>
        <v>2457.7999999999997</v>
      </c>
      <c r="H35" s="78">
        <f t="shared" si="15"/>
        <v>2823</v>
      </c>
      <c r="I35" s="90">
        <f t="shared" si="1"/>
        <v>0.6440724911231843</v>
      </c>
      <c r="J35" s="90">
        <f t="shared" si="5"/>
        <v>0</v>
      </c>
      <c r="K35" s="78">
        <f>K5+K24</f>
        <v>2515.5</v>
      </c>
      <c r="L35" s="90">
        <f t="shared" si="4"/>
        <v>1.1222420989862851</v>
      </c>
      <c r="M35" s="78">
        <f>M5+M24</f>
        <v>365.20000000000005</v>
      </c>
      <c r="N35" s="78">
        <f>N5+N24</f>
        <v>276</v>
      </c>
      <c r="O35" s="90">
        <f t="shared" si="2"/>
        <v>1.3231884057971015</v>
      </c>
      <c r="P35" s="78">
        <f>P5+P24</f>
        <v>63.5</v>
      </c>
      <c r="Q35" s="78">
        <f>Q5+Q24</f>
        <v>38.9</v>
      </c>
      <c r="R35" s="78">
        <f>R5+R24</f>
        <v>57.00000000000001</v>
      </c>
      <c r="T35" s="25"/>
    </row>
    <row r="36" spans="1:20" ht="18">
      <c r="A36" s="9" t="s">
        <v>91</v>
      </c>
      <c r="B36" s="9"/>
      <c r="C36" s="78">
        <f aca="true" t="shared" si="16" ref="C36:H36">C35-C10</f>
        <v>2027.4</v>
      </c>
      <c r="D36" s="77">
        <f t="shared" si="16"/>
        <v>1742.347</v>
      </c>
      <c r="E36" s="77">
        <f t="shared" si="16"/>
        <v>3769.7470000000003</v>
      </c>
      <c r="F36" s="78">
        <f t="shared" si="16"/>
        <v>0</v>
      </c>
      <c r="G36" s="78">
        <f>G35-G10</f>
        <v>1888.9999999999998</v>
      </c>
      <c r="H36" s="78">
        <f t="shared" si="16"/>
        <v>2198.8</v>
      </c>
      <c r="I36" s="90">
        <f>IF(E36&gt;0,H36/E36,0)</f>
        <v>0.5832752171432194</v>
      </c>
      <c r="J36" s="90">
        <f>IF(F36&gt;0,H36/F36,0)</f>
        <v>0</v>
      </c>
      <c r="K36" s="78">
        <f>K35-K10</f>
        <v>1970.6</v>
      </c>
      <c r="L36" s="90">
        <f t="shared" si="4"/>
        <v>1.1158022937176495</v>
      </c>
      <c r="M36" s="78">
        <f>M35-M10</f>
        <v>309.80000000000007</v>
      </c>
      <c r="N36" s="78">
        <f>N35-N10</f>
        <v>231.6</v>
      </c>
      <c r="O36" s="90">
        <f t="shared" si="2"/>
        <v>1.3376511226252161</v>
      </c>
      <c r="P36" s="78"/>
      <c r="Q36" s="78"/>
      <c r="R36" s="78"/>
      <c r="T36" s="170"/>
    </row>
    <row r="37" spans="1:20" ht="18">
      <c r="A37" s="13" t="s">
        <v>25</v>
      </c>
      <c r="B37" s="13">
        <v>2000000000</v>
      </c>
      <c r="C37" s="82">
        <v>4399.5</v>
      </c>
      <c r="D37" s="82">
        <f>638+3459.5+490.9+425-0.112-158.3</f>
        <v>4854.987999999999</v>
      </c>
      <c r="E37" s="82">
        <f>C37+D37</f>
        <v>9254.488</v>
      </c>
      <c r="F37" s="70"/>
      <c r="G37" s="70">
        <v>8624.7</v>
      </c>
      <c r="H37" s="67">
        <f>G37+M37</f>
        <v>9254</v>
      </c>
      <c r="I37" s="76">
        <f t="shared" si="1"/>
        <v>0.999947268827838</v>
      </c>
      <c r="J37" s="76">
        <f t="shared" si="5"/>
        <v>0</v>
      </c>
      <c r="K37" s="70">
        <v>8321.6</v>
      </c>
      <c r="L37" s="76">
        <f t="shared" si="4"/>
        <v>1.1120457604306864</v>
      </c>
      <c r="M37" s="70">
        <v>629.3</v>
      </c>
      <c r="N37" s="70">
        <v>3234.6</v>
      </c>
      <c r="O37" s="76">
        <f t="shared" si="2"/>
        <v>0.19455264947752426</v>
      </c>
      <c r="P37" s="70"/>
      <c r="Q37" s="70"/>
      <c r="R37" s="70"/>
      <c r="T37" s="25"/>
    </row>
    <row r="38" spans="1:20" ht="18">
      <c r="A38" s="13" t="s">
        <v>45</v>
      </c>
      <c r="B38" s="33" t="s">
        <v>101</v>
      </c>
      <c r="C38" s="70"/>
      <c r="D38" s="81">
        <f>7.4+42.3+25+0.72+7.03</f>
        <v>82.44999999999999</v>
      </c>
      <c r="E38" s="70">
        <f>C38+D38</f>
        <v>82.44999999999999</v>
      </c>
      <c r="F38" s="70"/>
      <c r="G38" s="70">
        <v>66.5</v>
      </c>
      <c r="H38" s="67">
        <f>G38+M38</f>
        <v>82.5</v>
      </c>
      <c r="I38" s="76">
        <f>IF(E38&gt;0,H38/E38,0)</f>
        <v>1.0006064281382658</v>
      </c>
      <c r="J38" s="76">
        <f>IF(F38&gt;0,H38/F38,0)</f>
        <v>0</v>
      </c>
      <c r="K38" s="70">
        <v>318.5</v>
      </c>
      <c r="L38" s="76">
        <f t="shared" si="4"/>
        <v>0.25902668759811615</v>
      </c>
      <c r="M38" s="70">
        <v>16</v>
      </c>
      <c r="N38" s="70">
        <v>138</v>
      </c>
      <c r="O38" s="76">
        <f t="shared" si="2"/>
        <v>0.11594202898550725</v>
      </c>
      <c r="P38" s="70"/>
      <c r="Q38" s="70"/>
      <c r="R38" s="70"/>
      <c r="T38" s="25"/>
    </row>
    <row r="39" spans="1:20" ht="18">
      <c r="A39" s="9" t="s">
        <v>2</v>
      </c>
      <c r="B39" s="9">
        <v>0</v>
      </c>
      <c r="C39" s="77">
        <f aca="true" t="shared" si="17" ref="C39:H39">C35+C37+C38</f>
        <v>7040.200000000001</v>
      </c>
      <c r="D39" s="87">
        <f t="shared" si="17"/>
        <v>6679.784999999999</v>
      </c>
      <c r="E39" s="77">
        <f t="shared" si="17"/>
        <v>13719.985</v>
      </c>
      <c r="F39" s="78">
        <f t="shared" si="17"/>
        <v>0</v>
      </c>
      <c r="G39" s="78">
        <f t="shared" si="17"/>
        <v>11149</v>
      </c>
      <c r="H39" s="78">
        <f t="shared" si="17"/>
        <v>12159.5</v>
      </c>
      <c r="I39" s="90">
        <f t="shared" si="1"/>
        <v>0.8862619018898343</v>
      </c>
      <c r="J39" s="90"/>
      <c r="K39" s="78">
        <f>K35+K37+K38</f>
        <v>11155.6</v>
      </c>
      <c r="L39" s="90">
        <f t="shared" si="4"/>
        <v>1.0899906773279788</v>
      </c>
      <c r="M39" s="78">
        <f>M35+M37+M38</f>
        <v>1010.5</v>
      </c>
      <c r="N39" s="78">
        <f>N35+N37+N38</f>
        <v>3648.6</v>
      </c>
      <c r="O39" s="90">
        <f t="shared" si="2"/>
        <v>0.2769555445924464</v>
      </c>
      <c r="P39" s="91">
        <f>P35+P37</f>
        <v>63.5</v>
      </c>
      <c r="Q39" s="78">
        <f>Q35+Q37</f>
        <v>38.9</v>
      </c>
      <c r="R39" s="78">
        <f>R35+R37</f>
        <v>57.00000000000001</v>
      </c>
      <c r="T39" s="25"/>
    </row>
    <row r="40" spans="8:20" ht="21.75" customHeight="1">
      <c r="H40" s="26"/>
      <c r="I40" s="26"/>
      <c r="T40" s="25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  <col min="18" max="18" width="10.25390625" style="0" customWidth="1"/>
  </cols>
  <sheetData>
    <row r="1" spans="1:18" ht="15.75">
      <c r="A1" s="25"/>
      <c r="B1" s="47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8"/>
      <c r="O1" s="48"/>
      <c r="P1" s="25"/>
      <c r="Q1" s="25"/>
      <c r="R1" s="25"/>
    </row>
    <row r="2" spans="1:18" ht="15.75">
      <c r="A2" s="25"/>
      <c r="B2" s="194" t="s">
        <v>130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3.5" customHeight="1">
      <c r="A3" s="183" t="s">
        <v>3</v>
      </c>
      <c r="B3" s="183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104.25" customHeight="1">
      <c r="A4" s="193"/>
      <c r="B4" s="193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120</v>
      </c>
      <c r="R4" s="121" t="s">
        <v>124</v>
      </c>
    </row>
    <row r="5" spans="1:18" ht="20.25" customHeight="1">
      <c r="A5" s="28" t="s">
        <v>21</v>
      </c>
      <c r="B5" s="28"/>
      <c r="C5" s="88">
        <f aca="true" t="shared" si="0" ref="C5:H5">C6+C15+C17+C22+C23+C10</f>
        <v>938.4</v>
      </c>
      <c r="D5" s="88">
        <f t="shared" si="0"/>
        <v>0</v>
      </c>
      <c r="E5" s="88">
        <f t="shared" si="0"/>
        <v>938.4</v>
      </c>
      <c r="F5" s="88">
        <f t="shared" si="0"/>
        <v>0</v>
      </c>
      <c r="G5" s="88">
        <f t="shared" si="0"/>
        <v>851.6</v>
      </c>
      <c r="H5" s="88">
        <f t="shared" si="0"/>
        <v>938.8</v>
      </c>
      <c r="I5" s="89">
        <f aca="true" t="shared" si="1" ref="I5:I39">IF(E5&gt;0,H5/E5,0)</f>
        <v>1.0004262574595055</v>
      </c>
      <c r="J5" s="89">
        <f>IF(F5&gt;0,H5/F5,0)</f>
        <v>0</v>
      </c>
      <c r="K5" s="88">
        <f>K6+K15+K17+K22+K23+K10</f>
        <v>895.5999999999999</v>
      </c>
      <c r="L5" s="89">
        <f>IF(K5&gt;0,H5/K5,0)</f>
        <v>1.0482358195623047</v>
      </c>
      <c r="M5" s="88">
        <f>M6+M15+M17+M22+M23+M10</f>
        <v>87.2</v>
      </c>
      <c r="N5" s="88">
        <f>N6+N15+N17+N22+N23+N10</f>
        <v>81.49999999999999</v>
      </c>
      <c r="O5" s="89">
        <f aca="true" t="shared" si="2" ref="O5:O32">IF(N5&gt;0,M5/N5,0)</f>
        <v>1.0699386503067487</v>
      </c>
      <c r="P5" s="88">
        <f>P6+P15+P17+P22+P23+P10</f>
        <v>31</v>
      </c>
      <c r="Q5" s="88">
        <f>Q6+Q15+Q17+Q22+Q23+Q10</f>
        <v>24.099999999999998</v>
      </c>
      <c r="R5" s="88">
        <f>R6+R15+R17+R22+R23+R10</f>
        <v>32.099999999999994</v>
      </c>
    </row>
    <row r="6" spans="1:18" ht="18">
      <c r="A6" s="9" t="s">
        <v>62</v>
      </c>
      <c r="B6" s="29">
        <v>1010200001</v>
      </c>
      <c r="C6" s="71">
        <f aca="true" t="shared" si="3" ref="C6:H6">C7+C8+C9</f>
        <v>189</v>
      </c>
      <c r="D6" s="71">
        <f t="shared" si="3"/>
        <v>0</v>
      </c>
      <c r="E6" s="71">
        <f t="shared" si="3"/>
        <v>189</v>
      </c>
      <c r="F6" s="71">
        <f t="shared" si="3"/>
        <v>0</v>
      </c>
      <c r="G6" s="71">
        <f t="shared" si="3"/>
        <v>169.8</v>
      </c>
      <c r="H6" s="71">
        <f t="shared" si="3"/>
        <v>189.10000000000002</v>
      </c>
      <c r="I6" s="86">
        <f t="shared" si="1"/>
        <v>1.0005291005291006</v>
      </c>
      <c r="J6" s="86">
        <f>IF(F6&gt;0,H6/F6,0)</f>
        <v>0</v>
      </c>
      <c r="K6" s="71">
        <f>K7+K8+K9</f>
        <v>185.70000000000002</v>
      </c>
      <c r="L6" s="86">
        <f aca="true" t="shared" si="4" ref="L6:L39">IF(K6&gt;0,H6/K6,0)</f>
        <v>1.018309100700054</v>
      </c>
      <c r="M6" s="71">
        <f>M7+M8+M9</f>
        <v>19.3</v>
      </c>
      <c r="N6" s="71">
        <f>N7+N8+N9</f>
        <v>25.9</v>
      </c>
      <c r="O6" s="86">
        <f t="shared" si="2"/>
        <v>0.7451737451737452</v>
      </c>
      <c r="P6" s="71">
        <f>P7+P8+P9</f>
        <v>0</v>
      </c>
      <c r="Q6" s="71">
        <f>Q7+Q8+Q9</f>
        <v>0.2</v>
      </c>
      <c r="R6" s="71">
        <f>R7+R8+R9</f>
        <v>0</v>
      </c>
    </row>
    <row r="7" spans="1:18" ht="18" customHeight="1">
      <c r="A7" s="10" t="s">
        <v>43</v>
      </c>
      <c r="B7" s="13">
        <v>1010201001</v>
      </c>
      <c r="C7" s="70">
        <v>189</v>
      </c>
      <c r="D7" s="67"/>
      <c r="E7" s="70">
        <f>C7+D7</f>
        <v>189</v>
      </c>
      <c r="F7" s="70"/>
      <c r="G7" s="67">
        <v>169.8</v>
      </c>
      <c r="H7" s="67">
        <f>G7+M7</f>
        <v>189.10000000000002</v>
      </c>
      <c r="I7" s="76">
        <f t="shared" si="1"/>
        <v>1.0005291005291006</v>
      </c>
      <c r="J7" s="76">
        <f aca="true" t="shared" si="5" ref="J7:J37">IF(F7&gt;0,H7/F7,0)</f>
        <v>0</v>
      </c>
      <c r="K7" s="67">
        <v>184.3</v>
      </c>
      <c r="L7" s="76">
        <f t="shared" si="4"/>
        <v>1.0260444926749865</v>
      </c>
      <c r="M7" s="67">
        <v>19.3</v>
      </c>
      <c r="N7" s="67">
        <v>25.9</v>
      </c>
      <c r="O7" s="76">
        <f t="shared" si="2"/>
        <v>0.7451737451737452</v>
      </c>
      <c r="P7" s="70"/>
      <c r="Q7" s="70">
        <v>0.2</v>
      </c>
      <c r="R7" s="70"/>
    </row>
    <row r="8" spans="1:18" ht="18" customHeight="1">
      <c r="A8" s="10" t="s">
        <v>42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5"/>
        <v>0</v>
      </c>
      <c r="K8" s="70"/>
      <c r="L8" s="76">
        <f>IF(K8&gt;0,H8/K8,0)</f>
        <v>0</v>
      </c>
      <c r="M8" s="70"/>
      <c r="N8" s="70"/>
      <c r="O8" s="76">
        <f>IF(N8&gt;0,M8/N8,0)</f>
        <v>0</v>
      </c>
      <c r="P8" s="70"/>
      <c r="Q8" s="70"/>
      <c r="R8" s="70"/>
    </row>
    <row r="9" spans="1:18" ht="18">
      <c r="A9" s="10" t="s">
        <v>41</v>
      </c>
      <c r="B9" s="13">
        <v>1010203001</v>
      </c>
      <c r="C9" s="70"/>
      <c r="D9" s="70"/>
      <c r="E9" s="70">
        <f>C9+D9</f>
        <v>0</v>
      </c>
      <c r="F9" s="70"/>
      <c r="G9" s="70"/>
      <c r="H9" s="67">
        <f>G9+M9</f>
        <v>0</v>
      </c>
      <c r="I9" s="76">
        <f t="shared" si="1"/>
        <v>0</v>
      </c>
      <c r="J9" s="76">
        <f t="shared" si="5"/>
        <v>0</v>
      </c>
      <c r="K9" s="70">
        <v>1.4</v>
      </c>
      <c r="L9" s="76">
        <f t="shared" si="4"/>
        <v>0</v>
      </c>
      <c r="M9" s="70"/>
      <c r="N9" s="70"/>
      <c r="O9" s="76">
        <f t="shared" si="2"/>
        <v>0</v>
      </c>
      <c r="P9" s="70"/>
      <c r="Q9" s="70"/>
      <c r="R9" s="70"/>
    </row>
    <row r="10" spans="1:18" ht="30.75" customHeight="1">
      <c r="A10" s="11" t="s">
        <v>47</v>
      </c>
      <c r="B10" s="19">
        <v>1030200001</v>
      </c>
      <c r="C10" s="71">
        <f aca="true" t="shared" si="6" ref="C10:H10">SUM(C11:C14)</f>
        <v>687.4</v>
      </c>
      <c r="D10" s="71">
        <f t="shared" si="6"/>
        <v>0</v>
      </c>
      <c r="E10" s="71">
        <f t="shared" si="6"/>
        <v>687.4</v>
      </c>
      <c r="F10" s="71">
        <f t="shared" si="6"/>
        <v>0</v>
      </c>
      <c r="G10" s="71">
        <f>SUM(G11:G14)</f>
        <v>638.9</v>
      </c>
      <c r="H10" s="72">
        <f t="shared" si="6"/>
        <v>701.3</v>
      </c>
      <c r="I10" s="65">
        <f t="shared" si="1"/>
        <v>1.020221123072447</v>
      </c>
      <c r="J10" s="65">
        <f>IF(F10&gt;0,H10/F10,0)</f>
        <v>0</v>
      </c>
      <c r="K10" s="71">
        <f>SUM(K11:K14)</f>
        <v>640.4</v>
      </c>
      <c r="L10" s="65">
        <f t="shared" si="4"/>
        <v>1.0950968144909432</v>
      </c>
      <c r="M10" s="71">
        <f>SUM(M11:M14)</f>
        <v>62.4</v>
      </c>
      <c r="N10" s="71">
        <f>SUM(N11:N14)</f>
        <v>52.19999999999999</v>
      </c>
      <c r="O10" s="65">
        <f t="shared" si="2"/>
        <v>1.195402298850575</v>
      </c>
      <c r="P10" s="71">
        <f>SUM(P11:P14)</f>
        <v>0</v>
      </c>
      <c r="Q10" s="71">
        <f>SUM(Q11:Q14)</f>
        <v>0</v>
      </c>
      <c r="R10" s="71">
        <f>SUM(R11:R14)</f>
        <v>0</v>
      </c>
    </row>
    <row r="11" spans="1:18" ht="18.75" customHeight="1">
      <c r="A11" s="12" t="s">
        <v>48</v>
      </c>
      <c r="B11" s="12">
        <v>1030223101</v>
      </c>
      <c r="C11" s="70">
        <v>315.6</v>
      </c>
      <c r="D11" s="70"/>
      <c r="E11" s="66">
        <f>C11+D11</f>
        <v>315.6</v>
      </c>
      <c r="F11" s="66"/>
      <c r="G11" s="70">
        <v>292.7</v>
      </c>
      <c r="H11" s="68">
        <f>G11+M11</f>
        <v>323.7</v>
      </c>
      <c r="I11" s="69">
        <f t="shared" si="1"/>
        <v>1.0256653992395437</v>
      </c>
      <c r="J11" s="69">
        <f>IF(F11&gt;0,H11/F11,0)</f>
        <v>0</v>
      </c>
      <c r="K11" s="70">
        <v>295.4</v>
      </c>
      <c r="L11" s="69">
        <f t="shared" si="4"/>
        <v>1.0958023019634395</v>
      </c>
      <c r="M11" s="70">
        <v>31</v>
      </c>
      <c r="N11" s="70">
        <v>24.4</v>
      </c>
      <c r="O11" s="69">
        <f t="shared" si="2"/>
        <v>1.2704918032786885</v>
      </c>
      <c r="P11" s="70"/>
      <c r="Q11" s="70"/>
      <c r="R11" s="70"/>
    </row>
    <row r="12" spans="1:18" ht="18.75" customHeight="1">
      <c r="A12" s="12" t="s">
        <v>49</v>
      </c>
      <c r="B12" s="12">
        <v>1030224101</v>
      </c>
      <c r="C12" s="70">
        <v>1.8</v>
      </c>
      <c r="D12" s="70"/>
      <c r="E12" s="66">
        <f>C12+D12</f>
        <v>1.8</v>
      </c>
      <c r="F12" s="66"/>
      <c r="G12" s="70">
        <v>2.1</v>
      </c>
      <c r="H12" s="68">
        <f>G12+M12</f>
        <v>2.3000000000000003</v>
      </c>
      <c r="I12" s="69">
        <f t="shared" si="1"/>
        <v>1.277777777777778</v>
      </c>
      <c r="J12" s="69">
        <f>IF(F12&gt;0,H12/F12,0)</f>
        <v>0</v>
      </c>
      <c r="K12" s="70">
        <v>2.1</v>
      </c>
      <c r="L12" s="69">
        <f t="shared" si="4"/>
        <v>1.0952380952380953</v>
      </c>
      <c r="M12" s="70">
        <v>0.2</v>
      </c>
      <c r="N12" s="70">
        <v>0.2</v>
      </c>
      <c r="O12" s="69">
        <f t="shared" si="2"/>
        <v>1</v>
      </c>
      <c r="P12" s="70"/>
      <c r="Q12" s="70"/>
      <c r="R12" s="70"/>
    </row>
    <row r="13" spans="1:18" ht="18" customHeight="1">
      <c r="A13" s="12" t="s">
        <v>50</v>
      </c>
      <c r="B13" s="12">
        <v>1030225101</v>
      </c>
      <c r="C13" s="70">
        <v>415.2</v>
      </c>
      <c r="D13" s="70"/>
      <c r="E13" s="66">
        <f>C13+D13</f>
        <v>415.2</v>
      </c>
      <c r="F13" s="66"/>
      <c r="G13" s="70">
        <v>393.7</v>
      </c>
      <c r="H13" s="68">
        <f>G13+M13</f>
        <v>430.5</v>
      </c>
      <c r="I13" s="69">
        <f t="shared" si="1"/>
        <v>1.0368497109826589</v>
      </c>
      <c r="J13" s="69">
        <f>IF(F13&gt;0,H13/F13,0)</f>
        <v>0</v>
      </c>
      <c r="K13" s="70">
        <v>397.4</v>
      </c>
      <c r="L13" s="69">
        <f t="shared" si="4"/>
        <v>1.083291394061399</v>
      </c>
      <c r="M13" s="70">
        <v>36.8</v>
      </c>
      <c r="N13" s="70">
        <v>33.3</v>
      </c>
      <c r="O13" s="69">
        <f t="shared" si="2"/>
        <v>1.105105105105105</v>
      </c>
      <c r="P13" s="70"/>
      <c r="Q13" s="70"/>
      <c r="R13" s="70"/>
    </row>
    <row r="14" spans="1:18" ht="18" customHeight="1">
      <c r="A14" s="12" t="s">
        <v>51</v>
      </c>
      <c r="B14" s="12">
        <v>1030226101</v>
      </c>
      <c r="C14" s="70">
        <v>-45.2</v>
      </c>
      <c r="D14" s="70"/>
      <c r="E14" s="66">
        <f>C14+D14</f>
        <v>-45.2</v>
      </c>
      <c r="F14" s="66"/>
      <c r="G14" s="70">
        <v>-49.6</v>
      </c>
      <c r="H14" s="68">
        <f>G14+M14</f>
        <v>-55.2</v>
      </c>
      <c r="I14" s="69">
        <f>H14/E14</f>
        <v>1.2212389380530972</v>
      </c>
      <c r="J14" s="69">
        <f>IF(F14&gt;0,H14/F14,0)</f>
        <v>0</v>
      </c>
      <c r="K14" s="70">
        <v>-54.5</v>
      </c>
      <c r="L14" s="69">
        <f t="shared" si="4"/>
        <v>0</v>
      </c>
      <c r="M14" s="70">
        <v>-5.6</v>
      </c>
      <c r="N14" s="70">
        <v>-5.7</v>
      </c>
      <c r="O14" s="69">
        <f t="shared" si="2"/>
        <v>0</v>
      </c>
      <c r="P14" s="70"/>
      <c r="Q14" s="70"/>
      <c r="R14" s="70"/>
    </row>
    <row r="15" spans="1:18" ht="18">
      <c r="A15" s="9" t="s">
        <v>69</v>
      </c>
      <c r="B15" s="29">
        <v>1050000000</v>
      </c>
      <c r="C15" s="71">
        <f aca="true" t="shared" si="7" ref="C15:H15">C16</f>
        <v>0</v>
      </c>
      <c r="D15" s="72">
        <f t="shared" si="7"/>
        <v>2.8</v>
      </c>
      <c r="E15" s="72">
        <f t="shared" si="7"/>
        <v>2.8</v>
      </c>
      <c r="F15" s="72">
        <f t="shared" si="7"/>
        <v>0</v>
      </c>
      <c r="G15" s="71">
        <f>G16</f>
        <v>2.8</v>
      </c>
      <c r="H15" s="72">
        <f t="shared" si="7"/>
        <v>2.8</v>
      </c>
      <c r="I15" s="86">
        <f t="shared" si="1"/>
        <v>1</v>
      </c>
      <c r="J15" s="86">
        <f t="shared" si="5"/>
        <v>0</v>
      </c>
      <c r="K15" s="71">
        <f>K16</f>
        <v>1.7</v>
      </c>
      <c r="L15" s="86">
        <f t="shared" si="4"/>
        <v>1.6470588235294117</v>
      </c>
      <c r="M15" s="71">
        <f>M16</f>
        <v>0</v>
      </c>
      <c r="N15" s="71">
        <f>N16</f>
        <v>0</v>
      </c>
      <c r="O15" s="86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</row>
    <row r="16" spans="1:18" ht="18">
      <c r="A16" s="13" t="s">
        <v>7</v>
      </c>
      <c r="B16" s="13">
        <v>1050300001</v>
      </c>
      <c r="C16" s="70"/>
      <c r="D16" s="67">
        <v>2.8</v>
      </c>
      <c r="E16" s="70">
        <f>C16+D16</f>
        <v>2.8</v>
      </c>
      <c r="F16" s="70"/>
      <c r="G16" s="70">
        <v>2.8</v>
      </c>
      <c r="H16" s="67">
        <f>G16+M16</f>
        <v>2.8</v>
      </c>
      <c r="I16" s="76">
        <f t="shared" si="1"/>
        <v>1</v>
      </c>
      <c r="J16" s="76">
        <f t="shared" si="5"/>
        <v>0</v>
      </c>
      <c r="K16" s="70">
        <v>1.7</v>
      </c>
      <c r="L16" s="76">
        <f t="shared" si="4"/>
        <v>1.6470588235294117</v>
      </c>
      <c r="M16" s="70"/>
      <c r="N16" s="70"/>
      <c r="O16" s="76">
        <f t="shared" si="2"/>
        <v>0</v>
      </c>
      <c r="P16" s="70"/>
      <c r="Q16" s="70"/>
      <c r="R16" s="70"/>
    </row>
    <row r="17" spans="1:18" ht="18">
      <c r="A17" s="9" t="s">
        <v>70</v>
      </c>
      <c r="B17" s="29">
        <v>1060000000</v>
      </c>
      <c r="C17" s="71">
        <f aca="true" t="shared" si="8" ref="C17:H17">C18+C21</f>
        <v>59</v>
      </c>
      <c r="D17" s="72">
        <f t="shared" si="8"/>
        <v>-2.8</v>
      </c>
      <c r="E17" s="72">
        <f t="shared" si="8"/>
        <v>56.2</v>
      </c>
      <c r="F17" s="72">
        <f t="shared" si="8"/>
        <v>0</v>
      </c>
      <c r="G17" s="71">
        <f>G18+G21</f>
        <v>38.599999999999994</v>
      </c>
      <c r="H17" s="72">
        <f t="shared" si="8"/>
        <v>44.1</v>
      </c>
      <c r="I17" s="86">
        <f t="shared" si="1"/>
        <v>0.7846975088967971</v>
      </c>
      <c r="J17" s="86">
        <f t="shared" si="5"/>
        <v>0</v>
      </c>
      <c r="K17" s="71">
        <f>K18+K21</f>
        <v>58.8</v>
      </c>
      <c r="L17" s="86">
        <f t="shared" si="4"/>
        <v>0.7500000000000001</v>
      </c>
      <c r="M17" s="71">
        <f>M18+M21</f>
        <v>5.5</v>
      </c>
      <c r="N17" s="71">
        <f>N18+N21</f>
        <v>3.3</v>
      </c>
      <c r="O17" s="86">
        <f t="shared" si="2"/>
        <v>1.6666666666666667</v>
      </c>
      <c r="P17" s="71">
        <f>P18+P21</f>
        <v>31</v>
      </c>
      <c r="Q17" s="71">
        <f>Q18+Q21</f>
        <v>23.9</v>
      </c>
      <c r="R17" s="71">
        <f>R18+R21</f>
        <v>32.099999999999994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39</v>
      </c>
      <c r="D18" s="67">
        <f t="shared" si="9"/>
        <v>0</v>
      </c>
      <c r="E18" s="67">
        <f t="shared" si="9"/>
        <v>39</v>
      </c>
      <c r="F18" s="67">
        <f t="shared" si="9"/>
        <v>0</v>
      </c>
      <c r="G18" s="70">
        <f>G19+G20</f>
        <v>39.099999999999994</v>
      </c>
      <c r="H18" s="67">
        <f t="shared" si="9"/>
        <v>42.9</v>
      </c>
      <c r="I18" s="76">
        <f t="shared" si="1"/>
        <v>1.0999999999999999</v>
      </c>
      <c r="J18" s="76">
        <f t="shared" si="5"/>
        <v>0</v>
      </c>
      <c r="K18" s="70">
        <f>K19+K20</f>
        <v>39.9</v>
      </c>
      <c r="L18" s="76">
        <f t="shared" si="4"/>
        <v>1.0751879699248121</v>
      </c>
      <c r="M18" s="70">
        <f>M19+M20</f>
        <v>3.8000000000000003</v>
      </c>
      <c r="N18" s="70">
        <f>N19+N20</f>
        <v>2.4</v>
      </c>
      <c r="O18" s="76">
        <f t="shared" si="2"/>
        <v>1.5833333333333335</v>
      </c>
      <c r="P18" s="70">
        <f>P19+P20</f>
        <v>17.2</v>
      </c>
      <c r="Q18" s="70">
        <f>Q19+Q20</f>
        <v>11.1</v>
      </c>
      <c r="R18" s="70">
        <f>R19+R20</f>
        <v>17.4</v>
      </c>
    </row>
    <row r="19" spans="1:18" ht="18">
      <c r="A19" s="13" t="s">
        <v>99</v>
      </c>
      <c r="B19" s="13">
        <v>1060603310</v>
      </c>
      <c r="C19" s="70">
        <v>9</v>
      </c>
      <c r="D19" s="67"/>
      <c r="E19" s="70">
        <f>C19+D19</f>
        <v>9</v>
      </c>
      <c r="F19" s="70"/>
      <c r="G19" s="70">
        <v>14.2</v>
      </c>
      <c r="H19" s="67">
        <f>G19+M19</f>
        <v>14.299999999999999</v>
      </c>
      <c r="I19" s="76">
        <f t="shared" si="1"/>
        <v>1.5888888888888888</v>
      </c>
      <c r="J19" s="76">
        <f t="shared" si="5"/>
        <v>0</v>
      </c>
      <c r="K19" s="70">
        <v>8</v>
      </c>
      <c r="L19" s="76">
        <f t="shared" si="4"/>
        <v>1.7874999999999999</v>
      </c>
      <c r="M19" s="70">
        <v>0.1</v>
      </c>
      <c r="N19" s="70">
        <v>0.1</v>
      </c>
      <c r="O19" s="76">
        <f t="shared" si="2"/>
        <v>1</v>
      </c>
      <c r="P19" s="70"/>
      <c r="Q19" s="70"/>
      <c r="R19" s="70"/>
    </row>
    <row r="20" spans="1:18" ht="18">
      <c r="A20" s="13" t="s">
        <v>100</v>
      </c>
      <c r="B20" s="13">
        <v>1060604310</v>
      </c>
      <c r="C20" s="70">
        <v>30</v>
      </c>
      <c r="D20" s="67"/>
      <c r="E20" s="70">
        <f>C20+D20</f>
        <v>30</v>
      </c>
      <c r="F20" s="70"/>
      <c r="G20" s="70">
        <v>24.9</v>
      </c>
      <c r="H20" s="67">
        <f>G20+M20</f>
        <v>28.599999999999998</v>
      </c>
      <c r="I20" s="76">
        <f t="shared" si="1"/>
        <v>0.9533333333333333</v>
      </c>
      <c r="J20" s="76">
        <f t="shared" si="5"/>
        <v>0</v>
      </c>
      <c r="K20" s="70">
        <v>31.9</v>
      </c>
      <c r="L20" s="76">
        <f t="shared" si="4"/>
        <v>0.896551724137931</v>
      </c>
      <c r="M20" s="70">
        <v>3.7</v>
      </c>
      <c r="N20" s="70">
        <v>2.3</v>
      </c>
      <c r="O20" s="76">
        <f t="shared" si="2"/>
        <v>1.6086956521739133</v>
      </c>
      <c r="P20" s="70">
        <v>17.2</v>
      </c>
      <c r="Q20" s="70">
        <v>11.1</v>
      </c>
      <c r="R20" s="70">
        <v>17.4</v>
      </c>
    </row>
    <row r="21" spans="1:20" ht="18">
      <c r="A21" s="13" t="s">
        <v>12</v>
      </c>
      <c r="B21" s="13">
        <v>1060103010</v>
      </c>
      <c r="C21" s="70">
        <v>20</v>
      </c>
      <c r="D21" s="67">
        <v>-2.8</v>
      </c>
      <c r="E21" s="70">
        <f>C21+D21</f>
        <v>17.2</v>
      </c>
      <c r="F21" s="70"/>
      <c r="G21" s="70">
        <v>-0.5</v>
      </c>
      <c r="H21" s="67">
        <f>G21+M21</f>
        <v>1.2</v>
      </c>
      <c r="I21" s="76">
        <f t="shared" si="1"/>
        <v>0.06976744186046512</v>
      </c>
      <c r="J21" s="76">
        <f t="shared" si="5"/>
        <v>0</v>
      </c>
      <c r="K21" s="70">
        <v>18.9</v>
      </c>
      <c r="L21" s="76">
        <f t="shared" si="4"/>
        <v>0.06349206349206349</v>
      </c>
      <c r="M21" s="70">
        <v>1.7</v>
      </c>
      <c r="N21" s="70">
        <v>0.9</v>
      </c>
      <c r="O21" s="76">
        <f t="shared" si="2"/>
        <v>1.8888888888888888</v>
      </c>
      <c r="P21" s="70">
        <v>13.8</v>
      </c>
      <c r="Q21" s="70">
        <v>12.8</v>
      </c>
      <c r="R21" s="70">
        <v>14.7</v>
      </c>
      <c r="S21" s="127"/>
      <c r="T21" s="155"/>
    </row>
    <row r="22" spans="1:18" ht="18">
      <c r="A22" s="9" t="s">
        <v>71</v>
      </c>
      <c r="B22" s="29">
        <v>1080402001</v>
      </c>
      <c r="C22" s="71">
        <v>3</v>
      </c>
      <c r="D22" s="72"/>
      <c r="E22" s="71">
        <f>C22+D22</f>
        <v>3</v>
      </c>
      <c r="F22" s="71"/>
      <c r="G22" s="71">
        <v>1.5</v>
      </c>
      <c r="H22" s="72">
        <f>G22+M22</f>
        <v>1.5</v>
      </c>
      <c r="I22" s="86">
        <f t="shared" si="1"/>
        <v>0.5</v>
      </c>
      <c r="J22" s="86">
        <f t="shared" si="5"/>
        <v>0</v>
      </c>
      <c r="K22" s="71">
        <v>9</v>
      </c>
      <c r="L22" s="86">
        <f t="shared" si="4"/>
        <v>0.16666666666666666</v>
      </c>
      <c r="M22" s="71"/>
      <c r="N22" s="71">
        <v>0.1</v>
      </c>
      <c r="O22" s="86">
        <f t="shared" si="2"/>
        <v>0</v>
      </c>
      <c r="P22" s="71"/>
      <c r="Q22" s="71"/>
      <c r="R22" s="71"/>
    </row>
    <row r="23" spans="1:18" ht="18" hidden="1">
      <c r="A23" s="9" t="s">
        <v>72</v>
      </c>
      <c r="B23" s="29">
        <v>1090405010</v>
      </c>
      <c r="C23" s="71"/>
      <c r="D23" s="71"/>
      <c r="E23" s="71">
        <f>C23+D23</f>
        <v>0</v>
      </c>
      <c r="F23" s="71"/>
      <c r="G23" s="71"/>
      <c r="H23" s="72">
        <f>G23+M23</f>
        <v>0</v>
      </c>
      <c r="I23" s="86">
        <f t="shared" si="1"/>
        <v>0</v>
      </c>
      <c r="J23" s="86">
        <f t="shared" si="5"/>
        <v>0</v>
      </c>
      <c r="K23" s="71"/>
      <c r="L23" s="86">
        <f t="shared" si="4"/>
        <v>0</v>
      </c>
      <c r="M23" s="71"/>
      <c r="N23" s="71"/>
      <c r="O23" s="86">
        <f t="shared" si="2"/>
        <v>0</v>
      </c>
      <c r="P23" s="71"/>
      <c r="Q23" s="71"/>
      <c r="R23" s="71"/>
    </row>
    <row r="24" spans="1:18" ht="18">
      <c r="A24" s="31" t="s">
        <v>22</v>
      </c>
      <c r="B24" s="31"/>
      <c r="C24" s="75">
        <f aca="true" t="shared" si="10" ref="C24:H24">C25+C28+C32+C31+C30+C29</f>
        <v>290</v>
      </c>
      <c r="D24" s="149">
        <f t="shared" si="10"/>
        <v>626.396</v>
      </c>
      <c r="E24" s="75">
        <f t="shared" si="10"/>
        <v>916.396</v>
      </c>
      <c r="F24" s="75">
        <f t="shared" si="10"/>
        <v>0</v>
      </c>
      <c r="G24" s="75">
        <f>G25+G28+G32+G31+G30+G29</f>
        <v>368.5</v>
      </c>
      <c r="H24" s="75">
        <f t="shared" si="10"/>
        <v>439.1</v>
      </c>
      <c r="I24" s="89">
        <f t="shared" si="1"/>
        <v>0.47915966459914716</v>
      </c>
      <c r="J24" s="89">
        <f t="shared" si="5"/>
        <v>0</v>
      </c>
      <c r="K24" s="75">
        <f>K25+K28+K32+K31+K30+K29</f>
        <v>503.9</v>
      </c>
      <c r="L24" s="89">
        <f t="shared" si="4"/>
        <v>0.871403056161937</v>
      </c>
      <c r="M24" s="75">
        <f>M25+M28+M32+M31+M30+M29</f>
        <v>70.6</v>
      </c>
      <c r="N24" s="75">
        <f>N25+N28+N32+N31+N30+N29</f>
        <v>81.2</v>
      </c>
      <c r="O24" s="89">
        <f t="shared" si="2"/>
        <v>0.8694581280788176</v>
      </c>
      <c r="P24" s="75">
        <f>P25+P28+P32+P31+P30</f>
        <v>0</v>
      </c>
      <c r="Q24" s="75">
        <f>Q25+Q28+Q32+Q31+Q30</f>
        <v>0</v>
      </c>
      <c r="R24" s="75">
        <f>R25+R28+R32+R31+R30</f>
        <v>0</v>
      </c>
    </row>
    <row r="25" spans="1:18" ht="17.25" customHeight="1">
      <c r="A25" s="9" t="s">
        <v>73</v>
      </c>
      <c r="B25" s="29">
        <v>1110000000</v>
      </c>
      <c r="C25" s="71">
        <f aca="true" t="shared" si="11" ref="C25:H25">C26+C27</f>
        <v>90</v>
      </c>
      <c r="D25" s="71">
        <f t="shared" si="11"/>
        <v>0</v>
      </c>
      <c r="E25" s="71">
        <f t="shared" si="11"/>
        <v>90</v>
      </c>
      <c r="F25" s="71">
        <f t="shared" si="11"/>
        <v>0</v>
      </c>
      <c r="G25" s="71">
        <f>G26+G27</f>
        <v>69.5</v>
      </c>
      <c r="H25" s="71">
        <f t="shared" si="11"/>
        <v>78.7</v>
      </c>
      <c r="I25" s="86">
        <f t="shared" si="1"/>
        <v>0.8744444444444445</v>
      </c>
      <c r="J25" s="86">
        <f t="shared" si="5"/>
        <v>0</v>
      </c>
      <c r="K25" s="71">
        <f>K26+K27</f>
        <v>89.7</v>
      </c>
      <c r="L25" s="86">
        <f t="shared" si="4"/>
        <v>0.8773690078037905</v>
      </c>
      <c r="M25" s="71">
        <f>M26+M27</f>
        <v>9.2</v>
      </c>
      <c r="N25" s="71">
        <f>N26+N27</f>
        <v>10.7</v>
      </c>
      <c r="O25" s="86">
        <f t="shared" si="2"/>
        <v>0.8598130841121495</v>
      </c>
      <c r="P25" s="71">
        <f>P26+P27</f>
        <v>0</v>
      </c>
      <c r="Q25" s="71">
        <f>Q26+Q27</f>
        <v>0</v>
      </c>
      <c r="R25" s="71">
        <f>R26+R27</f>
        <v>0</v>
      </c>
    </row>
    <row r="26" spans="1:18" ht="18.75" customHeight="1" hidden="1">
      <c r="A26" s="13" t="s">
        <v>18</v>
      </c>
      <c r="B26" s="13">
        <v>1110903510</v>
      </c>
      <c r="C26" s="70"/>
      <c r="D26" s="67"/>
      <c r="E26" s="70">
        <f aca="true" t="shared" si="12" ref="E26:E31">C26+D26</f>
        <v>0</v>
      </c>
      <c r="F26" s="70"/>
      <c r="G26" s="70"/>
      <c r="H26" s="67">
        <f aca="true" t="shared" si="13" ref="H26:H31">G26+M26</f>
        <v>0</v>
      </c>
      <c r="I26" s="76">
        <f t="shared" si="1"/>
        <v>0</v>
      </c>
      <c r="J26" s="76">
        <f t="shared" si="5"/>
        <v>0</v>
      </c>
      <c r="K26" s="70"/>
      <c r="L26" s="76">
        <f t="shared" si="4"/>
        <v>0</v>
      </c>
      <c r="M26" s="70"/>
      <c r="N26" s="70"/>
      <c r="O26" s="76">
        <f t="shared" si="2"/>
        <v>0</v>
      </c>
      <c r="P26" s="70"/>
      <c r="Q26" s="70"/>
      <c r="R26" s="70"/>
    </row>
    <row r="27" spans="1:18" ht="18">
      <c r="A27" s="32" t="s">
        <v>23</v>
      </c>
      <c r="B27" s="13">
        <v>1110904510</v>
      </c>
      <c r="C27" s="70">
        <v>90</v>
      </c>
      <c r="D27" s="67"/>
      <c r="E27" s="70">
        <f t="shared" si="12"/>
        <v>90</v>
      </c>
      <c r="F27" s="70"/>
      <c r="G27" s="70">
        <v>69.5</v>
      </c>
      <c r="H27" s="67">
        <f t="shared" si="13"/>
        <v>78.7</v>
      </c>
      <c r="I27" s="76">
        <f t="shared" si="1"/>
        <v>0.8744444444444445</v>
      </c>
      <c r="J27" s="76">
        <f t="shared" si="5"/>
        <v>0</v>
      </c>
      <c r="K27" s="70">
        <v>89.7</v>
      </c>
      <c r="L27" s="76">
        <f t="shared" si="4"/>
        <v>0.8773690078037905</v>
      </c>
      <c r="M27" s="70">
        <v>9.2</v>
      </c>
      <c r="N27" s="70">
        <v>10.7</v>
      </c>
      <c r="O27" s="76">
        <f t="shared" si="2"/>
        <v>0.8598130841121495</v>
      </c>
      <c r="P27" s="70"/>
      <c r="Q27" s="70"/>
      <c r="R27" s="70"/>
    </row>
    <row r="28" spans="1:18" ht="18">
      <c r="A28" s="9" t="s">
        <v>38</v>
      </c>
      <c r="B28" s="29">
        <v>1130299510</v>
      </c>
      <c r="C28" s="71">
        <v>200</v>
      </c>
      <c r="D28" s="71">
        <f>484.416+60.2+34+197+5+94-249.074</f>
        <v>625.5419999999999</v>
      </c>
      <c r="E28" s="126">
        <f t="shared" si="12"/>
        <v>825.5419999999999</v>
      </c>
      <c r="F28" s="71"/>
      <c r="G28" s="71">
        <v>298.3</v>
      </c>
      <c r="H28" s="72">
        <f t="shared" si="13"/>
        <v>359.6</v>
      </c>
      <c r="I28" s="86">
        <f t="shared" si="1"/>
        <v>0.435592616729373</v>
      </c>
      <c r="J28" s="86">
        <f t="shared" si="5"/>
        <v>0</v>
      </c>
      <c r="K28" s="71">
        <v>413.3</v>
      </c>
      <c r="L28" s="86">
        <f t="shared" si="4"/>
        <v>0.8700701669489476</v>
      </c>
      <c r="M28" s="71">
        <v>61.3</v>
      </c>
      <c r="N28" s="71">
        <v>70.2</v>
      </c>
      <c r="O28" s="86">
        <f t="shared" si="2"/>
        <v>0.8732193732193732</v>
      </c>
      <c r="P28" s="71"/>
      <c r="Q28" s="71"/>
      <c r="R28" s="71"/>
    </row>
    <row r="29" spans="1:18" ht="18">
      <c r="A29" s="9" t="s">
        <v>74</v>
      </c>
      <c r="B29" s="29">
        <v>1140205310</v>
      </c>
      <c r="C29" s="71"/>
      <c r="D29" s="71"/>
      <c r="E29" s="71">
        <f t="shared" si="12"/>
        <v>0</v>
      </c>
      <c r="F29" s="71"/>
      <c r="G29" s="71"/>
      <c r="H29" s="72">
        <f t="shared" si="13"/>
        <v>0</v>
      </c>
      <c r="I29" s="86">
        <f>IF(E29&gt;0,H29/E29,0)</f>
        <v>0</v>
      </c>
      <c r="J29" s="86">
        <f>IF(F29&gt;0,H29/F29,0)</f>
        <v>0</v>
      </c>
      <c r="K29" s="71"/>
      <c r="L29" s="86">
        <f t="shared" si="4"/>
        <v>0</v>
      </c>
      <c r="M29" s="71"/>
      <c r="N29" s="71"/>
      <c r="O29" s="86">
        <f t="shared" si="2"/>
        <v>0</v>
      </c>
      <c r="P29" s="71"/>
      <c r="Q29" s="71"/>
      <c r="R29" s="71"/>
    </row>
    <row r="30" spans="1:18" ht="18">
      <c r="A30" s="9" t="s">
        <v>75</v>
      </c>
      <c r="B30" s="29">
        <v>1140601410</v>
      </c>
      <c r="C30" s="71"/>
      <c r="D30" s="71"/>
      <c r="E30" s="71">
        <f t="shared" si="12"/>
        <v>0</v>
      </c>
      <c r="F30" s="71"/>
      <c r="G30" s="71"/>
      <c r="H30" s="72">
        <f t="shared" si="13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4"/>
        <v>0</v>
      </c>
      <c r="M30" s="71"/>
      <c r="N30" s="71"/>
      <c r="O30" s="86">
        <f t="shared" si="2"/>
        <v>0</v>
      </c>
      <c r="P30" s="71"/>
      <c r="Q30" s="71"/>
      <c r="R30" s="71"/>
    </row>
    <row r="31" spans="1:18" ht="18">
      <c r="A31" s="9" t="s">
        <v>78</v>
      </c>
      <c r="B31" s="29">
        <v>1169005010</v>
      </c>
      <c r="C31" s="71"/>
      <c r="D31" s="71"/>
      <c r="E31" s="71">
        <f t="shared" si="12"/>
        <v>0</v>
      </c>
      <c r="F31" s="71"/>
      <c r="G31" s="71"/>
      <c r="H31" s="72">
        <f t="shared" si="13"/>
        <v>0</v>
      </c>
      <c r="I31" s="86">
        <f>IF(E31&gt;0,H31/E31,0)</f>
        <v>0</v>
      </c>
      <c r="J31" s="86">
        <f>IF(F31&gt;0,H31/F31,0)</f>
        <v>0</v>
      </c>
      <c r="K31" s="71"/>
      <c r="L31" s="86">
        <f t="shared" si="4"/>
        <v>0</v>
      </c>
      <c r="M31" s="71"/>
      <c r="N31" s="71"/>
      <c r="O31" s="86">
        <f t="shared" si="2"/>
        <v>0</v>
      </c>
      <c r="P31" s="71"/>
      <c r="Q31" s="71"/>
      <c r="R31" s="71"/>
    </row>
    <row r="32" spans="1:18" ht="18">
      <c r="A32" s="9" t="s">
        <v>68</v>
      </c>
      <c r="B32" s="29">
        <v>1170000000</v>
      </c>
      <c r="C32" s="71">
        <f>SUM(C33:C34)</f>
        <v>0</v>
      </c>
      <c r="D32" s="71">
        <f aca="true" t="shared" si="14" ref="D32:R32">SUM(D33:D34)</f>
        <v>0.854</v>
      </c>
      <c r="E32" s="71">
        <f t="shared" si="14"/>
        <v>0.854</v>
      </c>
      <c r="F32" s="71">
        <f t="shared" si="14"/>
        <v>0</v>
      </c>
      <c r="G32" s="71">
        <f>SUM(G33:G34)</f>
        <v>0.7</v>
      </c>
      <c r="H32" s="71">
        <f t="shared" si="14"/>
        <v>0.7999999999999999</v>
      </c>
      <c r="I32" s="86">
        <f>IF(E32&gt;0,H32/E32,0)</f>
        <v>0.9367681498829039</v>
      </c>
      <c r="J32" s="86">
        <f>IF(F32&gt;0,H32/F32,0)</f>
        <v>0</v>
      </c>
      <c r="K32" s="71">
        <f>SUM(K33:K34)</f>
        <v>0.9</v>
      </c>
      <c r="L32" s="86">
        <f t="shared" si="4"/>
        <v>0.8888888888888888</v>
      </c>
      <c r="M32" s="71">
        <f t="shared" si="14"/>
        <v>0.1</v>
      </c>
      <c r="N32" s="71">
        <f t="shared" si="14"/>
        <v>0.3</v>
      </c>
      <c r="O32" s="86">
        <f t="shared" si="2"/>
        <v>0.33333333333333337</v>
      </c>
      <c r="P32" s="71">
        <f t="shared" si="14"/>
        <v>0</v>
      </c>
      <c r="Q32" s="71">
        <f>SUM(Q33:Q34)</f>
        <v>0</v>
      </c>
      <c r="R32" s="71">
        <f t="shared" si="14"/>
        <v>0</v>
      </c>
    </row>
    <row r="33" spans="1:18" ht="18">
      <c r="A33" s="13" t="s">
        <v>8</v>
      </c>
      <c r="B33" s="13">
        <v>1170103003</v>
      </c>
      <c r="C33" s="70"/>
      <c r="D33" s="70"/>
      <c r="E33" s="70">
        <f>C33+D33</f>
        <v>0</v>
      </c>
      <c r="F33" s="70"/>
      <c r="G33" s="70"/>
      <c r="H33" s="67">
        <f>G33+M33</f>
        <v>0</v>
      </c>
      <c r="I33" s="76">
        <f t="shared" si="1"/>
        <v>0</v>
      </c>
      <c r="J33" s="76">
        <f t="shared" si="5"/>
        <v>0</v>
      </c>
      <c r="K33" s="70"/>
      <c r="L33" s="76">
        <f t="shared" si="4"/>
        <v>0</v>
      </c>
      <c r="M33" s="70"/>
      <c r="N33" s="70"/>
      <c r="O33" s="76">
        <f aca="true" t="shared" si="15" ref="O33:O39">IF(N33&gt;0,M33/N33,0)</f>
        <v>0</v>
      </c>
      <c r="P33" s="76"/>
      <c r="Q33" s="76"/>
      <c r="R33" s="76"/>
    </row>
    <row r="34" spans="1:18" ht="18">
      <c r="A34" s="13" t="s">
        <v>33</v>
      </c>
      <c r="B34" s="13">
        <v>1170505010</v>
      </c>
      <c r="C34" s="70"/>
      <c r="D34" s="82">
        <f>0.854</f>
        <v>0.854</v>
      </c>
      <c r="E34" s="70">
        <f>C34+D34</f>
        <v>0.854</v>
      </c>
      <c r="F34" s="70"/>
      <c r="G34" s="70">
        <v>0.7</v>
      </c>
      <c r="H34" s="67">
        <f>G34+M34</f>
        <v>0.7999999999999999</v>
      </c>
      <c r="I34" s="76">
        <f>IF(E34&gt;0,H34/E34,0)</f>
        <v>0.9367681498829039</v>
      </c>
      <c r="J34" s="76">
        <f>IF(F34&gt;0,H34/F34,0)</f>
        <v>0</v>
      </c>
      <c r="K34" s="70">
        <v>0.9</v>
      </c>
      <c r="L34" s="76">
        <f>IF(K34&gt;0,H34/K34,0)</f>
        <v>0.8888888888888888</v>
      </c>
      <c r="M34" s="70">
        <v>0.1</v>
      </c>
      <c r="N34" s="70">
        <v>0.3</v>
      </c>
      <c r="O34" s="76">
        <f t="shared" si="15"/>
        <v>0.33333333333333337</v>
      </c>
      <c r="P34" s="70"/>
      <c r="Q34" s="70"/>
      <c r="R34" s="70"/>
    </row>
    <row r="35" spans="1:19" ht="18">
      <c r="A35" s="9" t="s">
        <v>6</v>
      </c>
      <c r="B35" s="9">
        <v>1000000000</v>
      </c>
      <c r="C35" s="77">
        <f aca="true" t="shared" si="16" ref="C35:H35">C5+C24</f>
        <v>1228.4</v>
      </c>
      <c r="D35" s="77">
        <f t="shared" si="16"/>
        <v>626.396</v>
      </c>
      <c r="E35" s="77">
        <f t="shared" si="16"/>
        <v>1854.7959999999998</v>
      </c>
      <c r="F35" s="78">
        <f t="shared" si="16"/>
        <v>0</v>
      </c>
      <c r="G35" s="78">
        <f>G5+G24</f>
        <v>1220.1</v>
      </c>
      <c r="H35" s="78">
        <f t="shared" si="16"/>
        <v>1377.9</v>
      </c>
      <c r="I35" s="90">
        <f t="shared" si="1"/>
        <v>0.7428849318199954</v>
      </c>
      <c r="J35" s="90">
        <f t="shared" si="5"/>
        <v>0</v>
      </c>
      <c r="K35" s="78">
        <f>K5+K24</f>
        <v>1399.5</v>
      </c>
      <c r="L35" s="90">
        <f t="shared" si="4"/>
        <v>0.9845659163987139</v>
      </c>
      <c r="M35" s="78"/>
      <c r="N35" s="78">
        <f>N5+N24</f>
        <v>162.7</v>
      </c>
      <c r="O35" s="90">
        <f t="shared" si="15"/>
        <v>0</v>
      </c>
      <c r="P35" s="78">
        <f>P5+P24</f>
        <v>31</v>
      </c>
      <c r="Q35" s="78">
        <f>Q5+Q24</f>
        <v>24.099999999999998</v>
      </c>
      <c r="R35" s="78">
        <f>R5+R24</f>
        <v>32.099999999999994</v>
      </c>
      <c r="S35" s="172"/>
    </row>
    <row r="36" spans="1:18" ht="18">
      <c r="A36" s="9" t="s">
        <v>91</v>
      </c>
      <c r="B36" s="9"/>
      <c r="C36" s="78">
        <f aca="true" t="shared" si="17" ref="C36:H36">C35-C10</f>
        <v>541.0000000000001</v>
      </c>
      <c r="D36" s="87">
        <f t="shared" si="17"/>
        <v>626.396</v>
      </c>
      <c r="E36" s="78">
        <f t="shared" si="17"/>
        <v>1167.3959999999997</v>
      </c>
      <c r="F36" s="78">
        <f t="shared" si="17"/>
        <v>0</v>
      </c>
      <c r="G36" s="78">
        <f>G35-G10</f>
        <v>581.1999999999999</v>
      </c>
      <c r="H36" s="78">
        <f t="shared" si="17"/>
        <v>676.6000000000001</v>
      </c>
      <c r="I36" s="90">
        <f>IF(E36&gt;0,H36/E36,0)</f>
        <v>0.5795805365103189</v>
      </c>
      <c r="J36" s="90">
        <f>IF(F36&gt;0,H36/F36,0)</f>
        <v>0</v>
      </c>
      <c r="K36" s="78">
        <f>K35-K10</f>
        <v>759.1</v>
      </c>
      <c r="L36" s="90">
        <f t="shared" si="4"/>
        <v>0.8913186668423134</v>
      </c>
      <c r="M36" s="78">
        <f>M35-M10</f>
        <v>-62.4</v>
      </c>
      <c r="N36" s="78">
        <f>N35-N10</f>
        <v>110.5</v>
      </c>
      <c r="O36" s="90">
        <f t="shared" si="15"/>
        <v>-0.5647058823529412</v>
      </c>
      <c r="P36" s="78"/>
      <c r="Q36" s="78"/>
      <c r="R36" s="78"/>
    </row>
    <row r="37" spans="1:19" ht="18">
      <c r="A37" s="13" t="s">
        <v>36</v>
      </c>
      <c r="B37" s="13">
        <v>2000000000</v>
      </c>
      <c r="C37" s="70">
        <v>2791.6</v>
      </c>
      <c r="D37" s="82">
        <f>150-0.2+95-25-26.4+126.59+29.2-64.8</f>
        <v>284.39</v>
      </c>
      <c r="E37" s="82">
        <f>C37+D37</f>
        <v>3075.99</v>
      </c>
      <c r="F37" s="70"/>
      <c r="G37" s="70">
        <v>2694.3</v>
      </c>
      <c r="H37" s="67">
        <f>G37+M37</f>
        <v>3076</v>
      </c>
      <c r="I37" s="76">
        <f t="shared" si="1"/>
        <v>1.0000032509858616</v>
      </c>
      <c r="J37" s="76">
        <f t="shared" si="5"/>
        <v>0</v>
      </c>
      <c r="K37" s="70">
        <v>3222.2</v>
      </c>
      <c r="L37" s="76">
        <f t="shared" si="4"/>
        <v>0.95462727329154</v>
      </c>
      <c r="M37" s="70">
        <v>381.7</v>
      </c>
      <c r="N37" s="70">
        <v>398.7</v>
      </c>
      <c r="O37" s="76">
        <f t="shared" si="15"/>
        <v>0.9573614246300477</v>
      </c>
      <c r="P37" s="70"/>
      <c r="Q37" s="70"/>
      <c r="R37" s="70"/>
      <c r="S37" s="137"/>
    </row>
    <row r="38" spans="1:18" ht="18">
      <c r="A38" s="13" t="s">
        <v>45</v>
      </c>
      <c r="B38" s="33" t="s">
        <v>37</v>
      </c>
      <c r="C38" s="70"/>
      <c r="D38" s="82">
        <f>100+40+50</f>
        <v>190</v>
      </c>
      <c r="E38" s="70">
        <f>C38+D38</f>
        <v>190</v>
      </c>
      <c r="F38" s="70"/>
      <c r="G38" s="70">
        <v>190</v>
      </c>
      <c r="H38" s="67">
        <f>G38+M38</f>
        <v>190</v>
      </c>
      <c r="I38" s="76">
        <f>IF(E38&gt;0,H38/E38,0)</f>
        <v>1</v>
      </c>
      <c r="J38" s="76">
        <f>IF(F38&gt;0,H38/F38,0)</f>
        <v>0</v>
      </c>
      <c r="K38" s="70"/>
      <c r="L38" s="76">
        <f t="shared" si="4"/>
        <v>0</v>
      </c>
      <c r="M38" s="70"/>
      <c r="N38" s="70"/>
      <c r="O38" s="76">
        <f t="shared" si="15"/>
        <v>0</v>
      </c>
      <c r="P38" s="70"/>
      <c r="Q38" s="70"/>
      <c r="R38" s="70"/>
    </row>
    <row r="39" spans="1:18" ht="18">
      <c r="A39" s="9" t="s">
        <v>2</v>
      </c>
      <c r="B39" s="9">
        <v>0</v>
      </c>
      <c r="C39" s="77">
        <f aca="true" t="shared" si="18" ref="C39:H39">C35+C37+C38</f>
        <v>4020</v>
      </c>
      <c r="D39" s="77">
        <f t="shared" si="18"/>
        <v>1100.786</v>
      </c>
      <c r="E39" s="77">
        <f t="shared" si="18"/>
        <v>5120.786</v>
      </c>
      <c r="F39" s="78">
        <f t="shared" si="18"/>
        <v>0</v>
      </c>
      <c r="G39" s="78">
        <f t="shared" si="18"/>
        <v>4104.4</v>
      </c>
      <c r="H39" s="78">
        <f t="shared" si="18"/>
        <v>4643.9</v>
      </c>
      <c r="I39" s="90">
        <f t="shared" si="1"/>
        <v>0.9068724996514206</v>
      </c>
      <c r="J39" s="90"/>
      <c r="K39" s="78">
        <f>K35+K37+K38</f>
        <v>4621.7</v>
      </c>
      <c r="L39" s="90">
        <f t="shared" si="4"/>
        <v>1.004803427310297</v>
      </c>
      <c r="M39" s="78">
        <f>M35+M37+M38</f>
        <v>381.7</v>
      </c>
      <c r="N39" s="78">
        <f>N35+N37+N38</f>
        <v>561.4</v>
      </c>
      <c r="O39" s="90">
        <f t="shared" si="15"/>
        <v>0.6799073744210902</v>
      </c>
      <c r="P39" s="78">
        <f>P35+P37+P38</f>
        <v>31</v>
      </c>
      <c r="Q39" s="78">
        <f>Q35+Q37+Q38</f>
        <v>24.099999999999998</v>
      </c>
      <c r="R39" s="78">
        <f>R35+R37+R38</f>
        <v>32.099999999999994</v>
      </c>
    </row>
    <row r="40" spans="7:9" ht="18" customHeight="1">
      <c r="G40" s="5"/>
      <c r="I40" s="151"/>
    </row>
    <row r="41" ht="12.75">
      <c r="G41" s="6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2" sqref="A2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5.8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1.25390625" style="0" customWidth="1"/>
    <col min="18" max="18" width="11.75390625" style="0" customWidth="1"/>
    <col min="19" max="19" width="14.00390625" style="0" customWidth="1"/>
  </cols>
  <sheetData>
    <row r="1" spans="1:18" ht="21" customHeight="1">
      <c r="A1" s="196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200"/>
      <c r="B2" s="200"/>
      <c r="C2" s="200"/>
      <c r="D2" s="200"/>
      <c r="E2" s="199" t="s">
        <v>131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15.75" customHeight="1">
      <c r="A3" s="197" t="s">
        <v>3</v>
      </c>
      <c r="B3" s="197" t="s">
        <v>4</v>
      </c>
      <c r="C3" s="195" t="s">
        <v>113</v>
      </c>
      <c r="D3" s="195" t="s">
        <v>24</v>
      </c>
      <c r="E3" s="195" t="s">
        <v>114</v>
      </c>
      <c r="F3" s="195" t="s">
        <v>98</v>
      </c>
      <c r="G3" s="195" t="s">
        <v>119</v>
      </c>
      <c r="H3" s="195" t="s">
        <v>115</v>
      </c>
      <c r="I3" s="195"/>
      <c r="J3" s="195"/>
      <c r="K3" s="195" t="s">
        <v>111</v>
      </c>
      <c r="L3" s="195"/>
      <c r="M3" s="195" t="s">
        <v>122</v>
      </c>
      <c r="N3" s="195" t="s">
        <v>123</v>
      </c>
      <c r="O3" s="195" t="s">
        <v>30</v>
      </c>
      <c r="P3" s="195" t="s">
        <v>9</v>
      </c>
      <c r="Q3" s="195"/>
      <c r="R3" s="195"/>
    </row>
    <row r="4" spans="1:18" ht="99" customHeight="1">
      <c r="A4" s="198"/>
      <c r="B4" s="198"/>
      <c r="C4" s="195"/>
      <c r="D4" s="195"/>
      <c r="E4" s="195"/>
      <c r="F4" s="195"/>
      <c r="G4" s="195"/>
      <c r="H4" s="181" t="s">
        <v>121</v>
      </c>
      <c r="I4" s="181" t="s">
        <v>10</v>
      </c>
      <c r="J4" s="181" t="s">
        <v>29</v>
      </c>
      <c r="K4" s="181" t="s">
        <v>121</v>
      </c>
      <c r="L4" s="181" t="s">
        <v>30</v>
      </c>
      <c r="M4" s="195"/>
      <c r="N4" s="195"/>
      <c r="O4" s="195"/>
      <c r="P4" s="182" t="s">
        <v>117</v>
      </c>
      <c r="Q4" s="182" t="s">
        <v>120</v>
      </c>
      <c r="R4" s="182" t="s">
        <v>124</v>
      </c>
    </row>
    <row r="5" spans="1:18" ht="18">
      <c r="A5" s="7" t="s">
        <v>21</v>
      </c>
      <c r="B5" s="17"/>
      <c r="C5" s="93">
        <f aca="true" t="shared" si="0" ref="C5:H5">C6+C10+C15+C21+C25+C26</f>
        <v>68200.027</v>
      </c>
      <c r="D5" s="93">
        <f t="shared" si="0"/>
        <v>14191.122000000001</v>
      </c>
      <c r="E5" s="123">
        <f t="shared" si="0"/>
        <v>82391.14899999999</v>
      </c>
      <c r="F5" s="93" t="e">
        <f t="shared" si="0"/>
        <v>#REF!</v>
      </c>
      <c r="G5" s="93">
        <f t="shared" si="0"/>
        <v>80162.40000000001</v>
      </c>
      <c r="H5" s="119">
        <f t="shared" si="0"/>
        <v>86718.50000000003</v>
      </c>
      <c r="I5" s="94">
        <f>IF(E5&gt;0,H5/E5,0)</f>
        <v>1.0525220372882533</v>
      </c>
      <c r="J5" s="94" t="e">
        <f>IF(F5&gt;0,H5/F5,0)</f>
        <v>#REF!</v>
      </c>
      <c r="K5" s="93">
        <f>K6+K10+K15+K21+K25+K26</f>
        <v>71650.3</v>
      </c>
      <c r="L5" s="94">
        <f>IF(K5&gt;0,H5/K5,0)</f>
        <v>1.2103019805918471</v>
      </c>
      <c r="M5" s="93">
        <f>M6+M10+M15+M21+M25+M26</f>
        <v>6556.100000000001</v>
      </c>
      <c r="N5" s="93">
        <f>N6+N10+N15+N21+N25+N26</f>
        <v>6383.3</v>
      </c>
      <c r="O5" s="94">
        <f>IF(N5&gt;0,M5/N5,0)</f>
        <v>1.0270706374445822</v>
      </c>
      <c r="P5" s="119">
        <f>P6+P10+P15+P21+P25+P26</f>
        <v>1007.6000000000001</v>
      </c>
      <c r="Q5" s="93">
        <f>Q6+Q10+Q15+Q21+Q25+Q26</f>
        <v>454.09999999999997</v>
      </c>
      <c r="R5" s="93">
        <f>R6+R10+R15+R21+R25+R26</f>
        <v>672.8000000000001</v>
      </c>
    </row>
    <row r="6" spans="1:19" ht="18">
      <c r="A6" s="9" t="s">
        <v>62</v>
      </c>
      <c r="B6" s="18">
        <v>1010200001</v>
      </c>
      <c r="C6" s="95">
        <f>C7+C8+C9</f>
        <v>21450</v>
      </c>
      <c r="D6" s="150">
        <f>D7+D8+D9</f>
        <v>408.045</v>
      </c>
      <c r="E6" s="150">
        <f>E7+E8+E9</f>
        <v>21858.045</v>
      </c>
      <c r="F6" s="95" t="e">
        <f>F7+F8+F9+#REF!</f>
        <v>#REF!</v>
      </c>
      <c r="G6" s="95">
        <f>G7+G8+G9</f>
        <v>20539.700000000004</v>
      </c>
      <c r="H6" s="95">
        <f>H7+H8+H9</f>
        <v>23592.700000000008</v>
      </c>
      <c r="I6" s="96">
        <f aca="true" t="shared" si="1" ref="I6:I51">IF(E6&gt;0,H6/E6,0)</f>
        <v>1.0793600251074609</v>
      </c>
      <c r="J6" s="96" t="e">
        <f aca="true" t="shared" si="2" ref="J6:J51">IF(F6&gt;0,H6/F6,0)</f>
        <v>#REF!</v>
      </c>
      <c r="K6" s="95">
        <f>K7+K8+K9</f>
        <v>21610.200000000004</v>
      </c>
      <c r="L6" s="96">
        <f aca="true" t="shared" si="3" ref="L6:L51">IF(K6&gt;0,H6/K6,0)</f>
        <v>1.0917390861722707</v>
      </c>
      <c r="M6" s="95">
        <f>M7+M8+M9</f>
        <v>3053.0000000000005</v>
      </c>
      <c r="N6" s="95">
        <f>N7+N8+N9</f>
        <v>2893.3</v>
      </c>
      <c r="O6" s="96">
        <f aca="true" t="shared" si="4" ref="O6:O51">IF(N6&gt;0,M6/N6,0)</f>
        <v>1.055196488438807</v>
      </c>
      <c r="P6" s="95">
        <f>P7+P8+P9</f>
        <v>54.7</v>
      </c>
      <c r="Q6" s="95">
        <f>Q7+Q8+Q9</f>
        <v>37.099999999999994</v>
      </c>
      <c r="R6" s="165">
        <f>R7+R8+R9</f>
        <v>38.7</v>
      </c>
      <c r="S6" s="166"/>
    </row>
    <row r="7" spans="1:19" ht="18" customHeight="1">
      <c r="A7" s="10" t="s">
        <v>39</v>
      </c>
      <c r="B7" s="13">
        <v>1010201001</v>
      </c>
      <c r="C7" s="97">
        <f>муниц!C6+'Лен '!C7+Высокор!C7+Гост!C7+Новотр!C7+Черн!C7</f>
        <v>21324</v>
      </c>
      <c r="D7" s="117">
        <f>муниц!D6+'Лен '!D7+Высокор!D7+Гост!D7+Новотр!D7+Черн!D7</f>
        <v>409.745</v>
      </c>
      <c r="E7" s="101">
        <f>C7+D7</f>
        <v>21733.745</v>
      </c>
      <c r="F7" s="97">
        <f>муниц!F6+'Лен '!F7+Высокор!F7+Гост!F7+Новотр!F7+Черн!F7</f>
        <v>9824.7</v>
      </c>
      <c r="G7" s="97">
        <f>муниц!G6+'Лен '!G7+Высокор!G7+Гост!G7+Новотр!G7+Черн!G7</f>
        <v>20346.900000000005</v>
      </c>
      <c r="H7" s="99">
        <f>G7+M7</f>
        <v>23366.500000000007</v>
      </c>
      <c r="I7" s="100">
        <f t="shared" si="1"/>
        <v>1.075125340800677</v>
      </c>
      <c r="J7" s="100">
        <f t="shared" si="2"/>
        <v>2.3783423412419724</v>
      </c>
      <c r="K7" s="97">
        <f>муниц!K6+'Лен '!K7+Высокор!K7+Гост!K7+Новотр!K7+Черн!K7</f>
        <v>21445.900000000005</v>
      </c>
      <c r="L7" s="100">
        <f t="shared" si="3"/>
        <v>1.0895555793881349</v>
      </c>
      <c r="M7" s="97">
        <f>муниц!M6+'Лен '!M7+Высокор!M7+Гост!M7+Новотр!M7+Черн!M7</f>
        <v>3019.6000000000004</v>
      </c>
      <c r="N7" s="97">
        <f>муниц!N6+'Лен '!N7+Высокор!N7+Гост!N7+Новотр!N7+Черн!N7</f>
        <v>2887.8</v>
      </c>
      <c r="O7" s="100">
        <f t="shared" si="4"/>
        <v>1.04564027979777</v>
      </c>
      <c r="P7" s="97">
        <f>муниц!P6+'Лен '!P7+Высокор!P7+Гост!P7+Новотр!P7+Черн!P7</f>
        <v>29</v>
      </c>
      <c r="Q7" s="97">
        <f>муниц!Q6+'Лен '!Q7+Высокор!Q7+Гост!Q7+Новотр!Q7+Черн!Q7</f>
        <v>31.299999999999994</v>
      </c>
      <c r="R7" s="97">
        <f>муниц!R6+'Лен '!R7+Высокор!R7+Гост!R7+Новотр!R7+Черн!R7</f>
        <v>30.5</v>
      </c>
      <c r="S7" s="25"/>
    </row>
    <row r="8" spans="1:19" ht="18.75" customHeight="1">
      <c r="A8" s="10" t="s">
        <v>40</v>
      </c>
      <c r="B8" s="13">
        <v>1010202001</v>
      </c>
      <c r="C8" s="97">
        <f>муниц!C7+'Лен '!C8+Высокор!C8+Гост!C8+Новотр!C8+Черн!C8</f>
        <v>54</v>
      </c>
      <c r="D8" s="97">
        <f>муниц!D7+'Лен '!D8+Высокор!D8+Гост!D8+Новотр!D8+Черн!D8</f>
        <v>0</v>
      </c>
      <c r="E8" s="101">
        <f>C8+D8</f>
        <v>54</v>
      </c>
      <c r="F8" s="97">
        <f>муниц!F7+'Лен '!F8+Высокор!F8+Гост!F8+Новотр!F8+Черн!F8</f>
        <v>26.1</v>
      </c>
      <c r="G8" s="97">
        <f>муниц!G7+'Лен '!G8+Высокор!G8+Гост!G8+Новотр!G8+Черн!G8</f>
        <v>64.5</v>
      </c>
      <c r="H8" s="99">
        <f>G8+M8</f>
        <v>64.5</v>
      </c>
      <c r="I8" s="100">
        <f t="shared" si="1"/>
        <v>1.1944444444444444</v>
      </c>
      <c r="J8" s="100">
        <f t="shared" si="2"/>
        <v>2.471264367816092</v>
      </c>
      <c r="K8" s="97">
        <f>муниц!K7+'Лен '!K8+Высокор!K8+Гост!K8+Новотр!K8+Черн!K8</f>
        <v>62.5</v>
      </c>
      <c r="L8" s="100">
        <f t="shared" si="3"/>
        <v>1.032</v>
      </c>
      <c r="M8" s="97">
        <f>муниц!M7+'Лен '!M8+Высокор!M8+Гост!M8+Новотр!M8+Черн!M8</f>
        <v>0</v>
      </c>
      <c r="N8" s="97">
        <f>муниц!N7+'Лен '!N8+Высокор!N8+Гост!N8+Новотр!N8+Черн!N8</f>
        <v>0</v>
      </c>
      <c r="O8" s="100">
        <f t="shared" si="4"/>
        <v>0</v>
      </c>
      <c r="P8" s="97">
        <f>муниц!P7+'Лен '!P8+Высокор!P8+Гост!P8+Новотр!P8+Черн!P8</f>
        <v>0</v>
      </c>
      <c r="Q8" s="97">
        <f>муниц!Q7+'Лен '!Q8+Высокор!Q8+Гост!Q8+Новотр!Q8+Черн!Q8</f>
        <v>0</v>
      </c>
      <c r="R8" s="97">
        <f>муниц!R7+'Лен '!R8+Высокор!R8+Гост!R8+Новотр!R8+Черн!R8</f>
        <v>0</v>
      </c>
      <c r="S8" s="25"/>
    </row>
    <row r="9" spans="1:19" ht="17.25" customHeight="1">
      <c r="A9" s="10" t="s">
        <v>41</v>
      </c>
      <c r="B9" s="13">
        <v>1010203001</v>
      </c>
      <c r="C9" s="97">
        <f>муниц!C8+'Лен '!C9+Высокор!C9+Гост!C9+Новотр!C9+Черн!C9</f>
        <v>72</v>
      </c>
      <c r="D9" s="97">
        <f>муниц!D8+'Лен '!D9+Высокор!D9+Гост!D9+Новотр!D9+Черн!D9</f>
        <v>-1.7</v>
      </c>
      <c r="E9" s="98">
        <f>C9+D9</f>
        <v>70.3</v>
      </c>
      <c r="F9" s="97">
        <f>муниц!F8+'Лен '!F9+Высокор!F9+Гост!F9+Новотр!F9+Черн!F9</f>
        <v>47</v>
      </c>
      <c r="G9" s="97">
        <f>муниц!G8+'Лен '!G9+Высокор!G9+Гост!G9+Новотр!G9+Черн!G9</f>
        <v>128.29999999999998</v>
      </c>
      <c r="H9" s="99">
        <f>G9+M9</f>
        <v>161.7</v>
      </c>
      <c r="I9" s="100">
        <f t="shared" si="1"/>
        <v>2.3001422475106685</v>
      </c>
      <c r="J9" s="100">
        <f t="shared" si="2"/>
        <v>3.4404255319148933</v>
      </c>
      <c r="K9" s="97">
        <f>муниц!K8+'Лен '!K9+Высокор!K9+Гост!K9+Новотр!K9+Черн!K9</f>
        <v>101.8</v>
      </c>
      <c r="L9" s="100">
        <f t="shared" si="3"/>
        <v>1.5884086444007859</v>
      </c>
      <c r="M9" s="97">
        <f>муниц!M8+'Лен '!M9+Высокор!M9+Гост!M9+Новотр!M9+Черн!M9</f>
        <v>33.4</v>
      </c>
      <c r="N9" s="97">
        <f>муниц!N8+'Лен '!N9+Высокор!N9+Гост!N9+Новотр!N9+Черн!N9</f>
        <v>5.5</v>
      </c>
      <c r="O9" s="100">
        <f t="shared" si="4"/>
        <v>6.072727272727272</v>
      </c>
      <c r="P9" s="97">
        <f>муниц!P8+'Лен '!P9+Высокор!P9+Гост!P9+Новотр!P9+Черн!P9</f>
        <v>25.7</v>
      </c>
      <c r="Q9" s="97">
        <f>муниц!Q8+'Лен '!Q9+Высокор!Q9+Гост!Q9+Новотр!Q9+Черн!Q9</f>
        <v>5.8</v>
      </c>
      <c r="R9" s="97">
        <f>муниц!R8+'Лен '!R9+Высокор!R9+Гост!R9+Новотр!R9+Черн!R9</f>
        <v>8.2</v>
      </c>
      <c r="S9" s="25"/>
    </row>
    <row r="10" spans="1:19" ht="18" customHeight="1">
      <c r="A10" s="11" t="s">
        <v>47</v>
      </c>
      <c r="B10" s="19">
        <v>1030200001</v>
      </c>
      <c r="C10" s="102">
        <f aca="true" t="shared" si="5" ref="C10:H10">SUM(C11:C14)</f>
        <v>12125.027</v>
      </c>
      <c r="D10" s="102">
        <f t="shared" si="5"/>
        <v>0.37700000000000244</v>
      </c>
      <c r="E10" s="102">
        <f t="shared" si="5"/>
        <v>12125.404</v>
      </c>
      <c r="F10" s="102">
        <f t="shared" si="5"/>
        <v>0</v>
      </c>
      <c r="G10" s="102">
        <f t="shared" si="5"/>
        <v>11258.3</v>
      </c>
      <c r="H10" s="102">
        <f t="shared" si="5"/>
        <v>12355.199999999999</v>
      </c>
      <c r="I10" s="96">
        <f t="shared" si="1"/>
        <v>1.0189516159626515</v>
      </c>
      <c r="J10" s="96">
        <f t="shared" si="2"/>
        <v>0</v>
      </c>
      <c r="K10" s="102">
        <f>SUM(K11:K14)</f>
        <v>10784.8</v>
      </c>
      <c r="L10" s="96">
        <f t="shared" si="3"/>
        <v>1.145612343297975</v>
      </c>
      <c r="M10" s="102">
        <f>SUM(M11:M14)</f>
        <v>1096.9</v>
      </c>
      <c r="N10" s="102">
        <f>SUM(N11:N14)</f>
        <v>879.4999999999999</v>
      </c>
      <c r="O10" s="96">
        <f t="shared" si="4"/>
        <v>1.2471859010801594</v>
      </c>
      <c r="P10" s="102">
        <f>SUM(P11:P14)</f>
        <v>0</v>
      </c>
      <c r="Q10" s="102">
        <f>SUM(Q11:Q14)</f>
        <v>0</v>
      </c>
      <c r="R10" s="102">
        <f>SUM(R11:R14)</f>
        <v>0</v>
      </c>
      <c r="S10" s="25"/>
    </row>
    <row r="11" spans="1:19" ht="18">
      <c r="A11" s="12" t="s">
        <v>48</v>
      </c>
      <c r="B11" s="12">
        <v>1030223101</v>
      </c>
      <c r="C11" s="97">
        <f>муниц!C10+'Лен '!C11+Высокор!C11+Гост!C11+Новотр!C11+Черн!C11</f>
        <v>5567.333000000001</v>
      </c>
      <c r="D11" s="97">
        <f>муниц!D10+'Лен '!D11+Высокор!D11+Гост!D11+Новотр!D11+Черн!D11</f>
        <v>10.060000000000002</v>
      </c>
      <c r="E11" s="98">
        <f>C11+D11</f>
        <v>5577.393000000002</v>
      </c>
      <c r="F11" s="97">
        <f>муниц!F10+'Лен '!F11+Высокор!F11+Гост!F11+Новотр!F11+Черн!F11</f>
        <v>0</v>
      </c>
      <c r="G11" s="97">
        <f>муниц!G10+'Лен '!G11+Высокор!G11+Гост!G11+Новотр!G11+Черн!G11</f>
        <v>5160.1</v>
      </c>
      <c r="H11" s="99">
        <f>G11+M11</f>
        <v>5703.700000000001</v>
      </c>
      <c r="I11" s="100">
        <f t="shared" si="1"/>
        <v>1.0226462435048058</v>
      </c>
      <c r="J11" s="100">
        <f t="shared" si="2"/>
        <v>0</v>
      </c>
      <c r="K11" s="97">
        <f>муниц!K10+'Лен '!K11+Высокор!K11+Гост!K11+Новотр!K11+Черн!K11</f>
        <v>4974.499999999999</v>
      </c>
      <c r="L11" s="100">
        <f t="shared" si="3"/>
        <v>1.1465875967433916</v>
      </c>
      <c r="M11" s="97">
        <f>муниц!M10+'Лен '!M11+Высокор!M11+Гост!M11+Новотр!M11+Черн!M11</f>
        <v>543.6</v>
      </c>
      <c r="N11" s="97">
        <f>муниц!N10+'Лен '!N11+Высокор!N11+Гост!N11+Новотр!N11+Черн!N11</f>
        <v>411.20000000000005</v>
      </c>
      <c r="O11" s="100">
        <f t="shared" si="4"/>
        <v>1.3219844357976653</v>
      </c>
      <c r="P11" s="97">
        <f>муниц!P10+'Лен '!P11+Высокор!P11+Гост!P11+Новотр!P11+Черн!P11</f>
        <v>0</v>
      </c>
      <c r="Q11" s="97">
        <f>муниц!Q10+'Лен '!Q11+Высокор!Q11+Гост!Q11+Новотр!Q11+Черн!Q11</f>
        <v>0</v>
      </c>
      <c r="R11" s="97">
        <f>муниц!R10+'Лен '!R11+Высокор!R11+Гост!R11+Новотр!R11+Черн!R11</f>
        <v>0</v>
      </c>
      <c r="S11" s="25"/>
    </row>
    <row r="12" spans="1:19" ht="18">
      <c r="A12" s="12" t="s">
        <v>49</v>
      </c>
      <c r="B12" s="12">
        <v>1030224101</v>
      </c>
      <c r="C12" s="97">
        <f>муниц!C11+'Лен '!C12+Высокор!C12+Гост!C12+Новотр!C12+Черн!C12</f>
        <v>31.699000000000005</v>
      </c>
      <c r="D12" s="97">
        <f>муниц!D11+'Лен '!D12+Высокор!D12+Гост!D12+Новотр!D12+Черн!D12</f>
        <v>0.5</v>
      </c>
      <c r="E12" s="98">
        <f>C12+D12</f>
        <v>32.199000000000005</v>
      </c>
      <c r="F12" s="97">
        <f>муниц!F11+'Лен '!F12+Высокор!F12+Гост!F12+Новотр!F12+Черн!F12</f>
        <v>0</v>
      </c>
      <c r="G12" s="97">
        <f>муниц!G11+'Лен '!G12+Высокор!G12+Гост!G12+Новотр!G12+Черн!G12</f>
        <v>36.699999999999996</v>
      </c>
      <c r="H12" s="99">
        <f>G12+M12</f>
        <v>40.199999999999996</v>
      </c>
      <c r="I12" s="100">
        <f t="shared" si="1"/>
        <v>1.248485977825398</v>
      </c>
      <c r="J12" s="100">
        <f t="shared" si="2"/>
        <v>0</v>
      </c>
      <c r="K12" s="97">
        <f>муниц!K11+'Лен '!K12+Высокор!K12+Гост!K12+Новотр!K12+Черн!K12</f>
        <v>35.4</v>
      </c>
      <c r="L12" s="100">
        <f t="shared" si="3"/>
        <v>1.135593220338983</v>
      </c>
      <c r="M12" s="97">
        <f>муниц!M11+'Лен '!M12+Высокор!M12+Гост!M12+Новотр!M12+Черн!M12</f>
        <v>3.5000000000000004</v>
      </c>
      <c r="N12" s="97">
        <f>муниц!N11+'Лен '!N12+Высокор!N12+Гост!N12+Новотр!N12+Черн!N12</f>
        <v>2.7</v>
      </c>
      <c r="O12" s="100">
        <f t="shared" si="4"/>
        <v>1.2962962962962963</v>
      </c>
      <c r="P12" s="97">
        <f>муниц!P11+'Лен '!P12+Высокор!P12+Гост!P12+Новотр!P12+Черн!P12</f>
        <v>0</v>
      </c>
      <c r="Q12" s="97">
        <f>муниц!Q11+'Лен '!Q12+Высокор!Q12+Гост!Q12+Новотр!Q12+Черн!Q12</f>
        <v>0</v>
      </c>
      <c r="R12" s="97">
        <f>муниц!R11+'Лен '!R12+Высокор!R12+Гост!R12+Новотр!R12+Черн!R12</f>
        <v>0</v>
      </c>
      <c r="S12" s="25"/>
    </row>
    <row r="13" spans="1:19" ht="18" customHeight="1">
      <c r="A13" s="12" t="s">
        <v>50</v>
      </c>
      <c r="B13" s="12">
        <v>1030225101</v>
      </c>
      <c r="C13" s="97">
        <f>муниц!C12+'Лен '!C13+Высокор!C13+Гост!C13+Новотр!C13+Черн!C13</f>
        <v>7323.595999999999</v>
      </c>
      <c r="D13" s="97">
        <f>муниц!D12+'Лен '!D13+Высокор!D13+Гост!D13+Новотр!D13+Черн!D13</f>
        <v>0</v>
      </c>
      <c r="E13" s="98">
        <f>C13+D13</f>
        <v>7323.595999999999</v>
      </c>
      <c r="F13" s="97">
        <f>муниц!F12+'Лен '!F13+Высокор!F13+Гост!F13+Новотр!F13+Черн!F13</f>
        <v>0</v>
      </c>
      <c r="G13" s="97">
        <f>муниц!G12+'Лен '!G13+Высокор!G13+Гост!G13+Новотр!G13+Черн!G13</f>
        <v>6935.699999999999</v>
      </c>
      <c r="H13" s="99">
        <f>G13+M13</f>
        <v>7583.899999999999</v>
      </c>
      <c r="I13" s="100">
        <f t="shared" si="1"/>
        <v>1.0355431949004288</v>
      </c>
      <c r="J13" s="100">
        <f t="shared" si="2"/>
        <v>0</v>
      </c>
      <c r="K13" s="97">
        <f>муниц!K12+'Лен '!K13+Высокор!K13+Гост!K13+Новотр!K13+Черн!K13</f>
        <v>6691.7</v>
      </c>
      <c r="L13" s="100">
        <f t="shared" si="3"/>
        <v>1.133329348297144</v>
      </c>
      <c r="M13" s="97">
        <f>муниц!M12+'Лен '!M13+Высокор!M13+Гост!M13+Новотр!M13+Черн!M13</f>
        <v>648.2</v>
      </c>
      <c r="N13" s="97">
        <f>муниц!N12+'Лен '!N13+Высокор!N13+Гост!N13+Новотр!N13+Черн!N13</f>
        <v>560.6999999999999</v>
      </c>
      <c r="O13" s="100">
        <f t="shared" si="4"/>
        <v>1.1560549313358304</v>
      </c>
      <c r="P13" s="97">
        <f>муниц!P12+'Лен '!P13+Высокор!P13+Гост!P13+Новотр!P13+Черн!P13</f>
        <v>0</v>
      </c>
      <c r="Q13" s="97">
        <f>муниц!Q12+'Лен '!Q13+Высокор!Q13+Гост!Q13+Новотр!Q13+Черн!Q13</f>
        <v>0</v>
      </c>
      <c r="R13" s="97">
        <f>муниц!R12+'Лен '!R13+Высокор!R13+Гост!R13+Новотр!R13+Черн!R13</f>
        <v>0</v>
      </c>
      <c r="S13" s="25"/>
    </row>
    <row r="14" spans="1:19" ht="18">
      <c r="A14" s="12" t="s">
        <v>51</v>
      </c>
      <c r="B14" s="12">
        <v>1030226101</v>
      </c>
      <c r="C14" s="97">
        <f>муниц!C13+'Лен '!C14+Высокор!C14+Гост!C14+Новотр!C14+Черн!C14</f>
        <v>-797.601</v>
      </c>
      <c r="D14" s="97">
        <f>муниц!D13+'Лен '!D14+Высокор!D14+Гост!D14+Новотр!D14+Черн!D14</f>
        <v>-10.183</v>
      </c>
      <c r="E14" s="98">
        <f>C14+D14</f>
        <v>-807.784</v>
      </c>
      <c r="F14" s="97">
        <f>муниц!F13+'Лен '!F14+Высокор!F14+Гост!F14+Новотр!F14+Черн!F14</f>
        <v>0</v>
      </c>
      <c r="G14" s="97">
        <f>муниц!G13+'Лен '!G14+Высокор!G14+Гост!G14+Новотр!G14+Черн!G14</f>
        <v>-874.2</v>
      </c>
      <c r="H14" s="99">
        <f>G14+M14</f>
        <v>-972.6</v>
      </c>
      <c r="I14" s="100">
        <f>H14/E14</f>
        <v>1.2040347419607222</v>
      </c>
      <c r="J14" s="100">
        <f t="shared" si="2"/>
        <v>0</v>
      </c>
      <c r="K14" s="97">
        <f>муниц!K13+'Лен '!K14+Высокор!K14+Гост!K14+Новотр!K14+Черн!K14</f>
        <v>-916.7999999999998</v>
      </c>
      <c r="L14" s="100">
        <f t="shared" si="3"/>
        <v>0</v>
      </c>
      <c r="M14" s="97">
        <f>муниц!M13+'Лен '!M14+Высокор!M14+Гост!M14+Новотр!M14+Черн!M14</f>
        <v>-98.39999999999999</v>
      </c>
      <c r="N14" s="97">
        <f>муниц!N13+'Лен '!N14+Высокор!N14+Гост!N14+Новотр!N14+Черн!N14</f>
        <v>-95.1</v>
      </c>
      <c r="O14" s="100">
        <f t="shared" si="4"/>
        <v>0</v>
      </c>
      <c r="P14" s="97">
        <f>муниц!P13+'Лен '!P14+Высокор!P14+Гост!P14+Новотр!P14+Черн!P14</f>
        <v>0</v>
      </c>
      <c r="Q14" s="97">
        <f>муниц!Q13+'Лен '!Q14+Высокор!Q14+Гост!Q14+Новотр!Q14+Черн!Q14</f>
        <v>0</v>
      </c>
      <c r="R14" s="97">
        <f>муниц!R13+'Лен '!R14+Высокор!R14+Гост!R14+Новотр!R14+Черн!R14</f>
        <v>0</v>
      </c>
      <c r="S14" s="25"/>
    </row>
    <row r="15" spans="1:19" ht="18">
      <c r="A15" s="9" t="s">
        <v>81</v>
      </c>
      <c r="B15" s="18">
        <v>1050000000</v>
      </c>
      <c r="C15" s="95">
        <f aca="true" t="shared" si="6" ref="C15:H15">C16+C17+C18+C19+C20</f>
        <v>26141</v>
      </c>
      <c r="D15" s="95">
        <f t="shared" si="6"/>
        <v>12965.6</v>
      </c>
      <c r="E15" s="95">
        <f t="shared" si="6"/>
        <v>39106.6</v>
      </c>
      <c r="F15" s="95">
        <f t="shared" si="6"/>
        <v>11352.9</v>
      </c>
      <c r="G15" s="95">
        <f t="shared" si="6"/>
        <v>39232.49999999999</v>
      </c>
      <c r="H15" s="95">
        <f t="shared" si="6"/>
        <v>41251.9</v>
      </c>
      <c r="I15" s="96">
        <f t="shared" si="1"/>
        <v>1.054857747797047</v>
      </c>
      <c r="J15" s="96">
        <f t="shared" si="2"/>
        <v>3.633600225493046</v>
      </c>
      <c r="K15" s="95">
        <f>K16+K17+K18+K19+K20</f>
        <v>30522.800000000003</v>
      </c>
      <c r="L15" s="96">
        <f t="shared" si="3"/>
        <v>1.3515110016119096</v>
      </c>
      <c r="M15" s="95">
        <f>M16+M17+M18+M19+M20</f>
        <v>2019.4</v>
      </c>
      <c r="N15" s="95">
        <f>N16+N17+N18+N19+N20</f>
        <v>2041.9</v>
      </c>
      <c r="O15" s="96">
        <f t="shared" si="4"/>
        <v>0.9889808511680298</v>
      </c>
      <c r="P15" s="95">
        <f>P16+P17+P18+P19+P20</f>
        <v>354.50000000000006</v>
      </c>
      <c r="Q15" s="95">
        <f>Q16+Q17+Q18+Q19+Q20</f>
        <v>157.1</v>
      </c>
      <c r="R15" s="95">
        <f>R16+R17+R18+R19+R20</f>
        <v>150.4</v>
      </c>
      <c r="S15" s="25"/>
    </row>
    <row r="16" spans="1:19" ht="18">
      <c r="A16" s="10" t="s">
        <v>52</v>
      </c>
      <c r="B16" s="27">
        <v>1050101001</v>
      </c>
      <c r="C16" s="97">
        <f>муниц!C15</f>
        <v>21000</v>
      </c>
      <c r="D16" s="97">
        <f>муниц!D15</f>
        <v>9900</v>
      </c>
      <c r="E16" s="101">
        <f>C16+D16</f>
        <v>30900</v>
      </c>
      <c r="F16" s="97">
        <f>муниц!F15</f>
        <v>7051</v>
      </c>
      <c r="G16" s="97">
        <f>муниц!G15</f>
        <v>30563.6</v>
      </c>
      <c r="H16" s="99">
        <f>G16+M16</f>
        <v>32060.3</v>
      </c>
      <c r="I16" s="100">
        <f t="shared" si="1"/>
        <v>1.0375501618122978</v>
      </c>
      <c r="J16" s="100">
        <f t="shared" si="2"/>
        <v>4.546915331158701</v>
      </c>
      <c r="K16" s="97">
        <f>муниц!K15</f>
        <v>19974</v>
      </c>
      <c r="L16" s="100">
        <f t="shared" si="3"/>
        <v>1.6051016321217582</v>
      </c>
      <c r="M16" s="97">
        <f>муниц!M15</f>
        <v>1496.7</v>
      </c>
      <c r="N16" s="97">
        <f>муниц!N15</f>
        <v>1861.1</v>
      </c>
      <c r="O16" s="100">
        <f t="shared" si="4"/>
        <v>0.8042018161302457</v>
      </c>
      <c r="P16" s="97">
        <f>муниц!P15</f>
        <v>326.70000000000005</v>
      </c>
      <c r="Q16" s="97">
        <f>муниц!Q15</f>
        <v>142.6</v>
      </c>
      <c r="R16" s="97">
        <f>муниц!R15</f>
        <v>146</v>
      </c>
      <c r="S16" s="25"/>
    </row>
    <row r="17" spans="1:19" ht="18">
      <c r="A17" s="10" t="s">
        <v>53</v>
      </c>
      <c r="B17" s="27">
        <v>1050102001</v>
      </c>
      <c r="C17" s="97">
        <f>муниц!C16</f>
        <v>2800</v>
      </c>
      <c r="D17" s="97">
        <f>муниц!D16</f>
        <v>2700</v>
      </c>
      <c r="E17" s="101">
        <f>C17+D17</f>
        <v>5500</v>
      </c>
      <c r="F17" s="97">
        <f>муниц!F16</f>
        <v>1509</v>
      </c>
      <c r="G17" s="97">
        <f>муниц!G16</f>
        <v>5886</v>
      </c>
      <c r="H17" s="99">
        <f>G17+M17</f>
        <v>6140.6</v>
      </c>
      <c r="I17" s="100">
        <f t="shared" si="1"/>
        <v>1.1164727272727273</v>
      </c>
      <c r="J17" s="100">
        <f t="shared" si="2"/>
        <v>4.069317428760769</v>
      </c>
      <c r="K17" s="97">
        <f>муниц!K16</f>
        <v>4180</v>
      </c>
      <c r="L17" s="100">
        <f t="shared" si="3"/>
        <v>1.469043062200957</v>
      </c>
      <c r="M17" s="97">
        <f>муниц!M16</f>
        <v>254.6</v>
      </c>
      <c r="N17" s="97">
        <f>муниц!N16</f>
        <v>44</v>
      </c>
      <c r="O17" s="100">
        <f t="shared" si="4"/>
        <v>5.786363636363636</v>
      </c>
      <c r="P17" s="97">
        <f>муниц!P16</f>
        <v>0</v>
      </c>
      <c r="Q17" s="97">
        <f>муниц!Q16</f>
        <v>2.3</v>
      </c>
      <c r="R17" s="97">
        <f>муниц!R16</f>
        <v>2.3</v>
      </c>
      <c r="S17" s="25"/>
    </row>
    <row r="18" spans="1:19" ht="18">
      <c r="A18" s="13" t="s">
        <v>0</v>
      </c>
      <c r="B18" s="27">
        <v>1050200001</v>
      </c>
      <c r="C18" s="97">
        <f>муниц!C17</f>
        <v>581</v>
      </c>
      <c r="D18" s="97">
        <f>муниц!D17</f>
        <v>735</v>
      </c>
      <c r="E18" s="101">
        <f>C18+D18</f>
        <v>1316</v>
      </c>
      <c r="F18" s="97">
        <f>муниц!F17</f>
        <v>2641</v>
      </c>
      <c r="G18" s="97">
        <f>муниц!G17</f>
        <v>1342.1</v>
      </c>
      <c r="H18" s="99">
        <f>G18+M18</f>
        <v>1349.3</v>
      </c>
      <c r="I18" s="100">
        <f t="shared" si="1"/>
        <v>1.025303951367781</v>
      </c>
      <c r="J18" s="100">
        <f t="shared" si="2"/>
        <v>0.5109049602423325</v>
      </c>
      <c r="K18" s="97">
        <f>муниц!K17</f>
        <v>4596.9</v>
      </c>
      <c r="L18" s="100">
        <f t="shared" si="3"/>
        <v>0.29352389653897193</v>
      </c>
      <c r="M18" s="97">
        <f>муниц!M17</f>
        <v>7.2</v>
      </c>
      <c r="N18" s="97">
        <f>муниц!N17</f>
        <v>48.9</v>
      </c>
      <c r="O18" s="100">
        <f t="shared" si="4"/>
        <v>0.147239263803681</v>
      </c>
      <c r="P18" s="97">
        <f>муниц!P17</f>
        <v>27.8</v>
      </c>
      <c r="Q18" s="97">
        <f>муниц!Q17</f>
        <v>11.1</v>
      </c>
      <c r="R18" s="97">
        <f>муниц!R17</f>
        <v>2.1</v>
      </c>
      <c r="S18" s="25"/>
    </row>
    <row r="19" spans="1:19" ht="18">
      <c r="A19" s="13" t="s">
        <v>7</v>
      </c>
      <c r="B19" s="27">
        <v>1050300001</v>
      </c>
      <c r="C19" s="97">
        <f>муниц!C18+'Лен '!C16+Высокор!C16+Гост!C16+Новотр!C16+Черн!C16</f>
        <v>1260</v>
      </c>
      <c r="D19" s="97">
        <f>муниц!D18+'Лен '!D16+Высокор!D16+Гост!D16+Новотр!D16+Черн!D16</f>
        <v>-889.4000000000001</v>
      </c>
      <c r="E19" s="101">
        <f>C19+D19</f>
        <v>370.5999999999999</v>
      </c>
      <c r="F19" s="97">
        <f>муниц!F18+'Лен '!F16+Высокор!F16+Гост!F16+Новотр!F16+Черн!F16</f>
        <v>63</v>
      </c>
      <c r="G19" s="97">
        <f>муниц!G18+'Лен '!G16+Высокор!G16+Гост!G16+Новотр!G16+Черн!G16</f>
        <v>370.09999999999997</v>
      </c>
      <c r="H19" s="99">
        <f>G19+M19</f>
        <v>370.09999999999997</v>
      </c>
      <c r="I19" s="100">
        <f t="shared" si="1"/>
        <v>0.9986508364813816</v>
      </c>
      <c r="J19" s="100">
        <f t="shared" si="2"/>
        <v>5.874603174603174</v>
      </c>
      <c r="K19" s="97">
        <f>муниц!K18+'Лен '!K16+Высокор!K16+Гост!K16+Новотр!K16+Черн!K16</f>
        <v>1326.0000000000002</v>
      </c>
      <c r="L19" s="100">
        <f t="shared" si="3"/>
        <v>0.27911010558069377</v>
      </c>
      <c r="M19" s="97">
        <f>муниц!M18+'Лен '!M16+Высокор!M16+Гост!M16+Новотр!M16+Черн!M16</f>
        <v>0</v>
      </c>
      <c r="N19" s="97">
        <f>муниц!N18+'Лен '!N16+Высокор!N16+Гост!N16+Новотр!N16+Черн!N16</f>
        <v>0</v>
      </c>
      <c r="O19" s="100">
        <f t="shared" si="4"/>
        <v>0</v>
      </c>
      <c r="P19" s="97">
        <f>муниц!P18+'Лен '!P16+Высокор!P16+Гост!P16+Новотр!P16+Черн!P16</f>
        <v>0</v>
      </c>
      <c r="Q19" s="97">
        <f>муниц!Q18+'Лен '!Q16+Высокор!Q16+Гост!Q16+Новотр!Q16+Черн!Q16</f>
        <v>0</v>
      </c>
      <c r="R19" s="97">
        <f>муниц!R18+'Лен '!R16+Высокор!R16+Гост!R16+Новотр!R16+Черн!R16</f>
        <v>0</v>
      </c>
      <c r="S19" s="25"/>
    </row>
    <row r="20" spans="1:19" ht="18">
      <c r="A20" s="10" t="s">
        <v>95</v>
      </c>
      <c r="B20" s="27">
        <v>1050402002</v>
      </c>
      <c r="C20" s="97">
        <f>муниц!C19</f>
        <v>500</v>
      </c>
      <c r="D20" s="97">
        <f>муниц!D19</f>
        <v>520</v>
      </c>
      <c r="E20" s="101">
        <f>C20+D20</f>
        <v>1020</v>
      </c>
      <c r="F20" s="97">
        <f>муниц!F19</f>
        <v>88.9</v>
      </c>
      <c r="G20" s="97">
        <f>муниц!G19</f>
        <v>1070.7</v>
      </c>
      <c r="H20" s="99">
        <f>G20+M20</f>
        <v>1331.6</v>
      </c>
      <c r="I20" s="100">
        <f t="shared" si="1"/>
        <v>1.3054901960784313</v>
      </c>
      <c r="J20" s="100">
        <f t="shared" si="2"/>
        <v>14.978627671541055</v>
      </c>
      <c r="K20" s="97">
        <f>муниц!K19</f>
        <v>445.9</v>
      </c>
      <c r="L20" s="100">
        <f t="shared" si="3"/>
        <v>2.9863198026463333</v>
      </c>
      <c r="M20" s="97">
        <f>муниц!M19</f>
        <v>260.9</v>
      </c>
      <c r="N20" s="97">
        <f>муниц!N19</f>
        <v>87.9</v>
      </c>
      <c r="O20" s="100">
        <f t="shared" si="4"/>
        <v>2.9681456200227525</v>
      </c>
      <c r="P20" s="97">
        <f>муниц!P19</f>
        <v>0</v>
      </c>
      <c r="Q20" s="97">
        <f>муниц!Q19</f>
        <v>1.1</v>
      </c>
      <c r="R20" s="97">
        <f>муниц!R19</f>
        <v>0</v>
      </c>
      <c r="S20" s="25"/>
    </row>
    <row r="21" spans="1:19" ht="18">
      <c r="A21" s="9" t="s">
        <v>79</v>
      </c>
      <c r="B21" s="18">
        <v>1060000000</v>
      </c>
      <c r="C21" s="103">
        <f aca="true" t="shared" si="7" ref="C21:H21">C22+C23+C24</f>
        <v>7772</v>
      </c>
      <c r="D21" s="103">
        <f t="shared" si="7"/>
        <v>814.2</v>
      </c>
      <c r="E21" s="103">
        <f t="shared" si="7"/>
        <v>8586.2</v>
      </c>
      <c r="F21" s="103">
        <f t="shared" si="7"/>
        <v>1983</v>
      </c>
      <c r="G21" s="103">
        <f t="shared" si="7"/>
        <v>8441.8</v>
      </c>
      <c r="H21" s="103">
        <f t="shared" si="7"/>
        <v>8790.6</v>
      </c>
      <c r="I21" s="96">
        <f t="shared" si="1"/>
        <v>1.023805641610957</v>
      </c>
      <c r="J21" s="96">
        <f t="shared" si="2"/>
        <v>4.432980332829047</v>
      </c>
      <c r="K21" s="103">
        <f>K22+K23+K24</f>
        <v>7974.900000000001</v>
      </c>
      <c r="L21" s="96">
        <f t="shared" si="3"/>
        <v>1.1022834142120903</v>
      </c>
      <c r="M21" s="103">
        <f>M22+M23+M24</f>
        <v>348.79999999999995</v>
      </c>
      <c r="N21" s="103">
        <f>N22+N23+N24</f>
        <v>501.2</v>
      </c>
      <c r="O21" s="96">
        <f t="shared" si="4"/>
        <v>0.6959297685554668</v>
      </c>
      <c r="P21" s="95">
        <f>P22+P23+P24</f>
        <v>598.4000000000001</v>
      </c>
      <c r="Q21" s="103">
        <f>Q22+Q23+Q24</f>
        <v>259.9</v>
      </c>
      <c r="R21" s="103">
        <f>R22+R23+R24</f>
        <v>483.70000000000005</v>
      </c>
      <c r="S21" s="25"/>
    </row>
    <row r="22" spans="1:19" ht="18">
      <c r="A22" s="13" t="s">
        <v>16</v>
      </c>
      <c r="B22" s="13">
        <v>1060103003</v>
      </c>
      <c r="C22" s="97">
        <f>'Лен '!C21+Высокор!C21+Гост!C21+Новотр!C21+Черн!C21</f>
        <v>1100</v>
      </c>
      <c r="D22" s="97">
        <f>'Лен '!D21+Высокор!D21+Гост!D21+Новотр!D21+Черн!D21</f>
        <v>-91.8</v>
      </c>
      <c r="E22" s="101">
        <f>C22+D22</f>
        <v>1008.2</v>
      </c>
      <c r="F22" s="97">
        <f>'Лен '!F21+Высокор!F21+Гост!F21+Новотр!F21+Черн!F21</f>
        <v>0</v>
      </c>
      <c r="G22" s="99">
        <f>'Лен '!G21+Высокор!G21+Гост!G21+Новотр!G21+Черн!G21</f>
        <v>808.5999999999999</v>
      </c>
      <c r="H22" s="99">
        <f>G22+M22</f>
        <v>1010.1999999999999</v>
      </c>
      <c r="I22" s="100">
        <f>IF(E22&gt;0,H22/E22,0)</f>
        <v>1.0019837333862327</v>
      </c>
      <c r="J22" s="100">
        <f>IF(F22&gt;0,H22/F22,0)</f>
        <v>0</v>
      </c>
      <c r="K22" s="99">
        <f>'Лен '!K21+Высокор!K21+Гост!K21+Новотр!K21+Черн!K21</f>
        <v>922.5999999999999</v>
      </c>
      <c r="L22" s="100">
        <f>IF(K22&gt;0,H22/K22,0)</f>
        <v>1.09494905701279</v>
      </c>
      <c r="M22" s="99">
        <f>'Лен '!M21+Высокор!M21+Гост!M21+Новотр!M21+Черн!M21</f>
        <v>201.6</v>
      </c>
      <c r="N22" s="99">
        <f>'Лен '!N21+Высокор!N21+Гост!N21+Новотр!N21+Черн!N21</f>
        <v>253.29999999999998</v>
      </c>
      <c r="O22" s="100">
        <f>IF(N22&gt;0,M22/N22,0)</f>
        <v>0.7958941966048164</v>
      </c>
      <c r="P22" s="99">
        <f>'Лен '!P21+Высокор!P21+Гост!P21+Новотр!P21+Черн!P21</f>
        <v>369.1</v>
      </c>
      <c r="Q22" s="99">
        <f>'Лен '!Q21+Высокор!Q21+Гост!Q21+Новотр!Q21+Черн!Q21</f>
        <v>132.5</v>
      </c>
      <c r="R22" s="99">
        <f>'Лен '!R21+Высокор!R21+Гост!R21+Новотр!R21+Черн!R21</f>
        <v>272.3</v>
      </c>
      <c r="S22" s="25"/>
    </row>
    <row r="23" spans="1:19" ht="18">
      <c r="A23" s="13" t="s">
        <v>19</v>
      </c>
      <c r="B23" s="13">
        <v>1060201002</v>
      </c>
      <c r="C23" s="97">
        <f>муниц!C20</f>
        <v>5300</v>
      </c>
      <c r="D23" s="97">
        <f>муниц!D20</f>
        <v>800</v>
      </c>
      <c r="E23" s="101">
        <f>C23+D23</f>
        <v>6100</v>
      </c>
      <c r="F23" s="97">
        <f>муниц!F20</f>
        <v>1983</v>
      </c>
      <c r="G23" s="97">
        <f>муниц!G20</f>
        <v>6254.7</v>
      </c>
      <c r="H23" s="99">
        <f>G23+M23</f>
        <v>6256.2</v>
      </c>
      <c r="I23" s="100">
        <f t="shared" si="1"/>
        <v>1.0256065573770492</v>
      </c>
      <c r="J23" s="100">
        <f t="shared" si="2"/>
        <v>3.154916792738275</v>
      </c>
      <c r="K23" s="97">
        <f>муниц!K20</f>
        <v>5726</v>
      </c>
      <c r="L23" s="100">
        <f t="shared" si="3"/>
        <v>1.0925951798812434</v>
      </c>
      <c r="M23" s="97">
        <f>муниц!M20</f>
        <v>1.5</v>
      </c>
      <c r="N23" s="97">
        <f>муниц!N20</f>
        <v>0.5</v>
      </c>
      <c r="O23" s="100">
        <f t="shared" si="4"/>
        <v>3</v>
      </c>
      <c r="P23" s="97">
        <f>муниц!P20</f>
        <v>0</v>
      </c>
      <c r="Q23" s="97">
        <f>муниц!Q20</f>
        <v>0</v>
      </c>
      <c r="R23" s="97">
        <f>муниц!R20</f>
        <v>0</v>
      </c>
      <c r="S23" s="25"/>
    </row>
    <row r="24" spans="1:19" ht="18">
      <c r="A24" s="13" t="s">
        <v>15</v>
      </c>
      <c r="B24" s="13">
        <v>1060600000</v>
      </c>
      <c r="C24" s="97">
        <f>'Лен '!C18+Высокор!C18+Гост!C18+Новотр!C18+Черн!C18</f>
        <v>1372</v>
      </c>
      <c r="D24" s="97">
        <f>'Лен '!D18+Высокор!D18+Гост!D18+Новотр!D18+Черн!D18</f>
        <v>106</v>
      </c>
      <c r="E24" s="98">
        <f>C24+D24</f>
        <v>1478</v>
      </c>
      <c r="F24" s="97">
        <f>'Лен '!F18+Высокор!F18+Гост!F18+Новотр!F18+Черн!F18</f>
        <v>0</v>
      </c>
      <c r="G24" s="99">
        <f>'Лен '!G18+Высокор!G18+Гост!G18+Новотр!G18+Черн!G18</f>
        <v>1378.5</v>
      </c>
      <c r="H24" s="99">
        <f>G24+M24</f>
        <v>1524.2</v>
      </c>
      <c r="I24" s="100">
        <f t="shared" si="1"/>
        <v>1.031258457374831</v>
      </c>
      <c r="J24" s="100">
        <f t="shared" si="2"/>
        <v>0</v>
      </c>
      <c r="K24" s="99">
        <f>'Лен '!K18+Высокор!K18+Гост!K18+Новотр!K18+Черн!K18</f>
        <v>1326.3000000000002</v>
      </c>
      <c r="L24" s="100">
        <f t="shared" si="3"/>
        <v>1.1492120937947672</v>
      </c>
      <c r="M24" s="99">
        <f>'Лен '!M18+Высокор!M18+Гост!M18+Новотр!M18+Черн!M18</f>
        <v>145.7</v>
      </c>
      <c r="N24" s="99">
        <f>'Лен '!N18+Высокор!N18+Гост!N18+Новотр!N18+Черн!N18</f>
        <v>247.4</v>
      </c>
      <c r="O24" s="100">
        <f t="shared" si="4"/>
        <v>0.5889248181083265</v>
      </c>
      <c r="P24" s="99">
        <f>'Лен '!P18+Высокор!P18+Гост!P18+Новотр!P18+Черн!P18</f>
        <v>229.3</v>
      </c>
      <c r="Q24" s="99">
        <f>'Лен '!Q18+Высокор!Q18+Гост!Q18+Новотр!Q18+Черн!Q18</f>
        <v>127.39999999999999</v>
      </c>
      <c r="R24" s="99">
        <f>'Лен '!R18+Высокор!R18+Гост!R18+Новотр!R18+Черн!R18</f>
        <v>211.4</v>
      </c>
      <c r="S24" s="25"/>
    </row>
    <row r="25" spans="1:19" ht="18">
      <c r="A25" s="9" t="s">
        <v>82</v>
      </c>
      <c r="B25" s="18">
        <v>1080000000</v>
      </c>
      <c r="C25" s="102">
        <f>муниц!C21+Высокор!C22+Гост!C22+Новотр!C22+Черн!C22</f>
        <v>712</v>
      </c>
      <c r="D25" s="102">
        <f>муниц!D21+Высокор!D22+Гост!D22+Новотр!D22+Черн!D22</f>
        <v>2.9</v>
      </c>
      <c r="E25" s="104">
        <f>C25+D25</f>
        <v>714.9</v>
      </c>
      <c r="F25" s="102">
        <f>муниц!F21+Высокор!F22+Гост!F22+Новотр!F22+Черн!F22</f>
        <v>289</v>
      </c>
      <c r="G25" s="102">
        <f>муниц!G21+Высокор!G22+Гост!G22+Новотр!G22+Черн!G22</f>
        <v>690.0999999999999</v>
      </c>
      <c r="H25" s="95">
        <f>G25+M25</f>
        <v>728.0999999999999</v>
      </c>
      <c r="I25" s="96">
        <f t="shared" si="1"/>
        <v>1.0184641208560636</v>
      </c>
      <c r="J25" s="96">
        <f t="shared" si="2"/>
        <v>2.5193771626297576</v>
      </c>
      <c r="K25" s="102">
        <f>муниц!K21+Высокор!K22+Гост!K22+Новотр!K22+Черн!K22</f>
        <v>757.5999999999999</v>
      </c>
      <c r="L25" s="96">
        <f t="shared" si="3"/>
        <v>0.9610612460401267</v>
      </c>
      <c r="M25" s="102">
        <f>муниц!M21+Высокор!M22+Гост!M22+Новотр!M22+Черн!M22</f>
        <v>38</v>
      </c>
      <c r="N25" s="102">
        <f>муниц!N21+Высокор!N22+Гост!N22+Новотр!N22+Черн!N22</f>
        <v>67.4</v>
      </c>
      <c r="O25" s="96">
        <f t="shared" si="4"/>
        <v>0.5637982195845697</v>
      </c>
      <c r="P25" s="105"/>
      <c r="Q25" s="105"/>
      <c r="R25" s="105"/>
      <c r="S25" s="25"/>
    </row>
    <row r="26" spans="1:19" ht="18" hidden="1">
      <c r="A26" s="9" t="s">
        <v>83</v>
      </c>
      <c r="B26" s="18">
        <v>1090000000</v>
      </c>
      <c r="C26" s="102">
        <f>муниц!C22+'Лен '!C22+Высокор!C23+Гост!C23+Новотр!C23+Черн!C23</f>
        <v>0</v>
      </c>
      <c r="D26" s="102">
        <f>муниц!D22+'Лен '!D22+Высокор!D23+Гост!D23+Новотр!D23+Черн!D23</f>
        <v>0</v>
      </c>
      <c r="E26" s="104">
        <f>C26+D26</f>
        <v>0</v>
      </c>
      <c r="F26" s="102">
        <f>муниц!F22+'Лен '!F22+Высокор!F23+Гост!F23+Новотр!F23+Черн!F23</f>
        <v>0</v>
      </c>
      <c r="G26" s="102">
        <f>муниц!G22+'Лен '!G22+Высокор!G23+Гост!G23+Новотр!G23+Черн!G23</f>
        <v>0</v>
      </c>
      <c r="H26" s="95">
        <f>G26+M26</f>
        <v>0</v>
      </c>
      <c r="I26" s="96">
        <f t="shared" si="1"/>
        <v>0</v>
      </c>
      <c r="J26" s="96">
        <f t="shared" si="2"/>
        <v>0</v>
      </c>
      <c r="K26" s="102">
        <f>муниц!K22+'Лен '!K22+Высокор!K23+Гост!K23+Новотр!K23+Черн!K23</f>
        <v>0</v>
      </c>
      <c r="L26" s="96">
        <f t="shared" si="3"/>
        <v>0</v>
      </c>
      <c r="M26" s="102">
        <f>муниц!M22+'Лен '!M22+Высокор!M23+Гост!M23+Новотр!M23+Черн!M23</f>
        <v>0</v>
      </c>
      <c r="N26" s="102">
        <f>муниц!N22+'Лен '!N22+Высокор!N23+Гост!N23+Новотр!N23+Черн!N23</f>
        <v>0</v>
      </c>
      <c r="O26" s="96">
        <f t="shared" si="4"/>
        <v>0</v>
      </c>
      <c r="P26" s="102">
        <f>муниц!P22+'Лен '!P22+Высокор!P23+Гост!P23+Новотр!P23+Черн!P23</f>
        <v>0</v>
      </c>
      <c r="Q26" s="102">
        <f>муниц!Q22+'Лен '!Q22+Высокор!Q23+Гост!Q23+Новотр!Q23+Черн!Q23</f>
        <v>0</v>
      </c>
      <c r="R26" s="102">
        <f>муниц!R22+'Лен '!R22+Высокор!R23+Гост!R23+Новотр!R23+Черн!R23</f>
        <v>0</v>
      </c>
      <c r="S26" s="25"/>
    </row>
    <row r="27" spans="1:19" ht="18">
      <c r="A27" s="14" t="s">
        <v>22</v>
      </c>
      <c r="B27" s="20"/>
      <c r="C27" s="106">
        <f aca="true" t="shared" si="8" ref="C27:H27">C28+C34+C35+C39+C42+C43</f>
        <v>37416</v>
      </c>
      <c r="D27" s="107">
        <f t="shared" si="8"/>
        <v>-6666.903000000003</v>
      </c>
      <c r="E27" s="107">
        <f t="shared" si="8"/>
        <v>30749.096999999998</v>
      </c>
      <c r="F27" s="107">
        <f t="shared" si="8"/>
        <v>7948.7</v>
      </c>
      <c r="G27" s="107">
        <f t="shared" si="8"/>
        <v>26509.1</v>
      </c>
      <c r="H27" s="107">
        <f t="shared" si="8"/>
        <v>28838.399999999998</v>
      </c>
      <c r="I27" s="94">
        <f t="shared" si="1"/>
        <v>0.937861687450529</v>
      </c>
      <c r="J27" s="94">
        <f t="shared" si="2"/>
        <v>3.6280649665983113</v>
      </c>
      <c r="K27" s="107">
        <f>K28+K34+K35+K39+K42+K43</f>
        <v>16042.999999999998</v>
      </c>
      <c r="L27" s="94">
        <f t="shared" si="3"/>
        <v>1.7975690332232126</v>
      </c>
      <c r="M27" s="107">
        <f>M28+M34+M35+M39+M42+M43</f>
        <v>2329.3</v>
      </c>
      <c r="N27" s="107">
        <f>N28+N34+N35+N39+N42+N43</f>
        <v>1823.6999999999998</v>
      </c>
      <c r="O27" s="94">
        <f t="shared" si="4"/>
        <v>1.2772385809069478</v>
      </c>
      <c r="P27" s="107">
        <f>P28+P34+P35+P39+P42+P43</f>
        <v>898.6</v>
      </c>
      <c r="Q27" s="107">
        <f>Q28+Q34+Q35+Q39+Q42+Q43</f>
        <v>906.5999999999999</v>
      </c>
      <c r="R27" s="107">
        <f>R28+R34+R35+R39+R42+R43</f>
        <v>604.1</v>
      </c>
      <c r="S27" s="25"/>
    </row>
    <row r="28" spans="1:19" ht="18">
      <c r="A28" s="9" t="s">
        <v>84</v>
      </c>
      <c r="B28" s="18">
        <v>1110000000</v>
      </c>
      <c r="C28" s="102">
        <f aca="true" t="shared" si="9" ref="C28:H28">SUM(C29:C33)</f>
        <v>4587.4</v>
      </c>
      <c r="D28" s="102">
        <f t="shared" si="9"/>
        <v>799.3489999999999</v>
      </c>
      <c r="E28" s="102">
        <f t="shared" si="9"/>
        <v>5386.749</v>
      </c>
      <c r="F28" s="102">
        <f t="shared" si="9"/>
        <v>2087.3</v>
      </c>
      <c r="G28" s="102">
        <f t="shared" si="9"/>
        <v>4486</v>
      </c>
      <c r="H28" s="102">
        <f t="shared" si="9"/>
        <v>5023.5</v>
      </c>
      <c r="I28" s="96">
        <f t="shared" si="1"/>
        <v>0.9325661915934825</v>
      </c>
      <c r="J28" s="96">
        <f t="shared" si="2"/>
        <v>2.4066976476788193</v>
      </c>
      <c r="K28" s="102">
        <f>SUM(K29:K33)</f>
        <v>5245.7</v>
      </c>
      <c r="L28" s="96">
        <f t="shared" si="3"/>
        <v>0.957641496845035</v>
      </c>
      <c r="M28" s="102">
        <f>SUM(M29:M33)</f>
        <v>537.5</v>
      </c>
      <c r="N28" s="102">
        <f>SUM(N29:N33)</f>
        <v>558.5</v>
      </c>
      <c r="O28" s="96">
        <f t="shared" si="4"/>
        <v>0.9623992837958818</v>
      </c>
      <c r="P28" s="102">
        <f>SUM(P29:P33)</f>
        <v>898.6</v>
      </c>
      <c r="Q28" s="102">
        <f>SUM(Q29:Q33)</f>
        <v>906.5999999999999</v>
      </c>
      <c r="R28" s="102">
        <f>SUM(R29:R33)</f>
        <v>604.1</v>
      </c>
      <c r="S28" s="25"/>
    </row>
    <row r="29" spans="1:19" ht="0.75" customHeight="1">
      <c r="A29" s="13" t="s">
        <v>20</v>
      </c>
      <c r="B29" s="13">
        <v>1110105005</v>
      </c>
      <c r="C29" s="97">
        <f>муниц!C25</f>
        <v>0</v>
      </c>
      <c r="D29" s="97">
        <f>муниц!D25</f>
        <v>0</v>
      </c>
      <c r="E29" s="101">
        <f aca="true" t="shared" si="10" ref="E29:E43">C29+D29</f>
        <v>0</v>
      </c>
      <c r="F29" s="97">
        <f>муниц!F25</f>
        <v>0</v>
      </c>
      <c r="G29" s="97">
        <f>муниц!G25</f>
        <v>0</v>
      </c>
      <c r="H29" s="99">
        <f aca="true" t="shared" si="11" ref="H29:H34">G29+M29</f>
        <v>0</v>
      </c>
      <c r="I29" s="100">
        <f t="shared" si="1"/>
        <v>0</v>
      </c>
      <c r="J29" s="100">
        <f t="shared" si="2"/>
        <v>0</v>
      </c>
      <c r="K29" s="97">
        <f>муниц!K25</f>
        <v>0</v>
      </c>
      <c r="L29" s="100">
        <f t="shared" si="3"/>
        <v>0</v>
      </c>
      <c r="M29" s="97">
        <f>муниц!M25</f>
        <v>0</v>
      </c>
      <c r="N29" s="97">
        <f>муниц!N25</f>
        <v>0</v>
      </c>
      <c r="O29" s="100">
        <f t="shared" si="4"/>
        <v>0</v>
      </c>
      <c r="P29" s="97"/>
      <c r="Q29" s="97"/>
      <c r="R29" s="97"/>
      <c r="S29" s="25"/>
    </row>
    <row r="30" spans="1:19" ht="18">
      <c r="A30" s="13" t="s">
        <v>1</v>
      </c>
      <c r="B30" s="13">
        <v>1110501013</v>
      </c>
      <c r="C30" s="97">
        <f>муниц!C26+муниц!C27+'Лен '!C25+Высокор!C26+Гост!C26+Новотр!C26+Черн!C26+'Лен '!C26</f>
        <v>2887.2</v>
      </c>
      <c r="D30" s="97">
        <f>муниц!D26+муниц!D27+'Лен '!D25+Высокор!D26+Гост!D26+Новотр!D26+Черн!D26+'Лен '!D26</f>
        <v>-743.5</v>
      </c>
      <c r="E30" s="101">
        <f t="shared" si="10"/>
        <v>2143.7</v>
      </c>
      <c r="F30" s="97">
        <f>муниц!F26+муниц!F27+'Лен '!F25+Высокор!F26+Гост!F26+Новотр!F26+Черн!F26</f>
        <v>900</v>
      </c>
      <c r="G30" s="97">
        <f>муниц!G26+муниц!G27+'Лен '!G25+'Лен '!G26+Высокор!G26+Гост!G26+Новотр!G26+Черн!G26</f>
        <v>1939.9</v>
      </c>
      <c r="H30" s="99">
        <f t="shared" si="11"/>
        <v>2161.1</v>
      </c>
      <c r="I30" s="100">
        <f t="shared" si="1"/>
        <v>1.0081168073890936</v>
      </c>
      <c r="J30" s="100">
        <f t="shared" si="2"/>
        <v>2.401222222222222</v>
      </c>
      <c r="K30" s="97">
        <f>муниц!K26+муниц!K27+'Лен '!K25+Высокор!K26+Гост!K26+Новотр!K26+Черн!K26+'Лен '!K26</f>
        <v>3352.2999999999997</v>
      </c>
      <c r="L30" s="100">
        <f t="shared" si="3"/>
        <v>0.6446618739372968</v>
      </c>
      <c r="M30" s="97">
        <f>муниц!M26+муниц!M27+'Лен '!M25+'Лен '!M26+Новотр!M26</f>
        <v>221.20000000000002</v>
      </c>
      <c r="N30" s="97">
        <f>муниц!N26+муниц!N27+'Лен '!N25+Высокор!N26+Гост!N26+Новотр!N26+Черн!N26+'Лен '!N26</f>
        <v>371</v>
      </c>
      <c r="O30" s="100">
        <f t="shared" si="4"/>
        <v>0.5962264150943397</v>
      </c>
      <c r="P30" s="97">
        <f>муниц!P26+муниц!P27+'Лен '!P25+Высокор!P26+Гост!P26+Новотр!P26+Черн!P26</f>
        <v>418.70000000000005</v>
      </c>
      <c r="Q30" s="97">
        <f>муниц!Q26+муниц!Q27+'Лен '!Q25+Высокор!Q26+Гост!Q26+Новотр!Q26+Черн!Q26</f>
        <v>746.5999999999999</v>
      </c>
      <c r="R30" s="97">
        <f>муниц!R26+муниц!R27+'Лен '!R25+Высокор!R26+Гост!R26+Новотр!R26+Черн!R26</f>
        <v>443.1</v>
      </c>
      <c r="S30" s="25"/>
    </row>
    <row r="31" spans="1:19" ht="18">
      <c r="A31" s="13" t="s">
        <v>17</v>
      </c>
      <c r="B31" s="13">
        <v>1110503510</v>
      </c>
      <c r="C31" s="97">
        <f>муниц!C28</f>
        <v>670</v>
      </c>
      <c r="D31" s="97">
        <f>муниц!D28</f>
        <v>0</v>
      </c>
      <c r="E31" s="101">
        <f t="shared" si="10"/>
        <v>670</v>
      </c>
      <c r="F31" s="97">
        <f>муниц!F28</f>
        <v>1187.3</v>
      </c>
      <c r="G31" s="97">
        <f>муниц!G28</f>
        <v>683.5</v>
      </c>
      <c r="H31" s="99">
        <f t="shared" si="11"/>
        <v>751.7</v>
      </c>
      <c r="I31" s="100">
        <f t="shared" si="1"/>
        <v>1.1219402985074627</v>
      </c>
      <c r="J31" s="100">
        <f t="shared" si="2"/>
        <v>0.6331171565737388</v>
      </c>
      <c r="K31" s="97">
        <f>муниц!K28</f>
        <v>825.9</v>
      </c>
      <c r="L31" s="100">
        <f t="shared" si="3"/>
        <v>0.9101586148444122</v>
      </c>
      <c r="M31" s="97">
        <f>муниц!M28</f>
        <v>68.2</v>
      </c>
      <c r="N31" s="97">
        <f>муниц!N28</f>
        <v>84.3</v>
      </c>
      <c r="O31" s="100">
        <f t="shared" si="4"/>
        <v>0.8090154211150653</v>
      </c>
      <c r="P31" s="97">
        <f>муниц!P28+Новотр!P27</f>
        <v>418.4</v>
      </c>
      <c r="Q31" s="97">
        <f>муниц!Q28</f>
        <v>160</v>
      </c>
      <c r="R31" s="97">
        <f>муниц!R28</f>
        <v>161</v>
      </c>
      <c r="S31" s="25"/>
    </row>
    <row r="32" spans="1:19" ht="18">
      <c r="A32" s="13" t="s">
        <v>109</v>
      </c>
      <c r="B32" s="13">
        <v>1110507500</v>
      </c>
      <c r="C32" s="97">
        <f>'Лен '!C27+муниц!C29</f>
        <v>334.2</v>
      </c>
      <c r="D32" s="97">
        <f>'Лен '!D27+муниц!D29</f>
        <v>846.9</v>
      </c>
      <c r="E32" s="98">
        <f t="shared" si="10"/>
        <v>1181.1</v>
      </c>
      <c r="F32" s="97">
        <f>'Лен '!F29+Гост!F27</f>
        <v>0</v>
      </c>
      <c r="G32" s="97">
        <f>'Лен '!G27+муниц!G29</f>
        <v>1207.3</v>
      </c>
      <c r="H32" s="99">
        <f t="shared" si="11"/>
        <v>1366.3</v>
      </c>
      <c r="I32" s="100">
        <f t="shared" si="1"/>
        <v>1.1568029802726272</v>
      </c>
      <c r="J32" s="100">
        <f t="shared" si="2"/>
        <v>0</v>
      </c>
      <c r="K32" s="97">
        <f>'Лен '!K27+муниц!K29</f>
        <v>350.3</v>
      </c>
      <c r="L32" s="100">
        <f t="shared" si="3"/>
        <v>3.900371110476734</v>
      </c>
      <c r="M32" s="97">
        <f>'Лен '!M27+муниц!M29</f>
        <v>159</v>
      </c>
      <c r="N32" s="97">
        <f>'Лен '!N27+муниц!N29</f>
        <v>25.7</v>
      </c>
      <c r="O32" s="100">
        <f t="shared" si="4"/>
        <v>6.186770428015564</v>
      </c>
      <c r="P32" s="108"/>
      <c r="Q32" s="108"/>
      <c r="R32" s="108"/>
      <c r="S32" s="25"/>
    </row>
    <row r="33" spans="1:19" ht="18">
      <c r="A33" s="13" t="s">
        <v>23</v>
      </c>
      <c r="B33" s="13">
        <v>1110904505</v>
      </c>
      <c r="C33" s="97">
        <f>муниц!C30+'Лен '!C28+Высокор!C27+Гост!C28+Новотр!C27+Черн!C27</f>
        <v>696</v>
      </c>
      <c r="D33" s="97">
        <f>муниц!D30+'Лен '!D28+Высокор!D27+Гост!D28+Новотр!D27+Черн!D27</f>
        <v>695.949</v>
      </c>
      <c r="E33" s="118">
        <f t="shared" si="10"/>
        <v>1391.949</v>
      </c>
      <c r="F33" s="97">
        <f>муниц!F30+'Лен '!F28+Высокор!F27+Гост!F28+Новотр!F27+Черн!F27</f>
        <v>0</v>
      </c>
      <c r="G33" s="97">
        <f>муниц!G30+'Лен '!G28+Высокор!G27+Гост!G28+Новотр!G27+Черн!G27</f>
        <v>655.3</v>
      </c>
      <c r="H33" s="99">
        <f t="shared" si="11"/>
        <v>744.4</v>
      </c>
      <c r="I33" s="100">
        <f t="shared" si="1"/>
        <v>0.5347897085309878</v>
      </c>
      <c r="J33" s="100">
        <f t="shared" si="2"/>
        <v>0</v>
      </c>
      <c r="K33" s="97">
        <f>муниц!K30+'Лен '!K28+Высокор!K27+Гост!K28+Новотр!K27+Черн!K27</f>
        <v>717.2</v>
      </c>
      <c r="L33" s="100">
        <f t="shared" si="3"/>
        <v>1.03792526491913</v>
      </c>
      <c r="M33" s="97">
        <f>муниц!M30+'Лен '!M28+Высокор!M27+Гост!M28+Новотр!M27+Черн!M27</f>
        <v>89.10000000000001</v>
      </c>
      <c r="N33" s="97">
        <f>муниц!N30+'Лен '!N28+Высокор!N27+Гост!N28+Новотр!N27+Черн!N27</f>
        <v>77.5</v>
      </c>
      <c r="O33" s="100">
        <f t="shared" si="4"/>
        <v>1.149677419354839</v>
      </c>
      <c r="P33" s="108">
        <f>'Лен '!P28</f>
        <v>61.5</v>
      </c>
      <c r="Q33" s="108">
        <f>'Лен '!Q28</f>
        <v>0</v>
      </c>
      <c r="R33" s="108">
        <f>'Лен '!R28</f>
        <v>0</v>
      </c>
      <c r="S33" s="25"/>
    </row>
    <row r="34" spans="1:19" ht="18">
      <c r="A34" s="9" t="s">
        <v>80</v>
      </c>
      <c r="B34" s="18">
        <v>1120000000</v>
      </c>
      <c r="C34" s="102">
        <f>муниц!C31</f>
        <v>10.8</v>
      </c>
      <c r="D34" s="102">
        <f>муниц!D31</f>
        <v>0</v>
      </c>
      <c r="E34" s="104">
        <f t="shared" si="10"/>
        <v>10.8</v>
      </c>
      <c r="F34" s="102">
        <f>муниц!F31</f>
        <v>75</v>
      </c>
      <c r="G34" s="102">
        <f>муниц!G31</f>
        <v>26.5</v>
      </c>
      <c r="H34" s="95">
        <f t="shared" si="11"/>
        <v>26.5</v>
      </c>
      <c r="I34" s="96">
        <f t="shared" si="1"/>
        <v>2.4537037037037037</v>
      </c>
      <c r="J34" s="96">
        <f t="shared" si="2"/>
        <v>0.35333333333333333</v>
      </c>
      <c r="K34" s="102">
        <f>муниц!K31</f>
        <v>23.4</v>
      </c>
      <c r="L34" s="96">
        <f t="shared" si="3"/>
        <v>1.1324786324786325</v>
      </c>
      <c r="M34" s="102">
        <f>муниц!M31</f>
        <v>0</v>
      </c>
      <c r="N34" s="102">
        <f>муниц!N31</f>
        <v>0.1</v>
      </c>
      <c r="O34" s="96">
        <f t="shared" si="4"/>
        <v>0</v>
      </c>
      <c r="P34" s="95"/>
      <c r="Q34" s="105"/>
      <c r="R34" s="105"/>
      <c r="S34" s="25"/>
    </row>
    <row r="35" spans="1:19" ht="18">
      <c r="A35" s="9" t="s">
        <v>65</v>
      </c>
      <c r="B35" s="18">
        <v>1130000000</v>
      </c>
      <c r="C35" s="102">
        <f aca="true" t="shared" si="12" ref="C35:H35">SUM(C36:C38)</f>
        <v>10018</v>
      </c>
      <c r="D35" s="102">
        <f t="shared" si="12"/>
        <v>674.5299999999997</v>
      </c>
      <c r="E35" s="103">
        <f t="shared" si="12"/>
        <v>10692.529999999999</v>
      </c>
      <c r="F35" s="102">
        <f t="shared" si="12"/>
        <v>5703.4</v>
      </c>
      <c r="G35" s="102">
        <f t="shared" si="12"/>
        <v>7256.799999999999</v>
      </c>
      <c r="H35" s="102">
        <f t="shared" si="12"/>
        <v>8331.8</v>
      </c>
      <c r="I35" s="96">
        <f t="shared" si="1"/>
        <v>0.7792168925408673</v>
      </c>
      <c r="J35" s="96">
        <f t="shared" si="2"/>
        <v>1.4608479152786058</v>
      </c>
      <c r="K35" s="102">
        <f>SUM(K36:K38)</f>
        <v>9031.5</v>
      </c>
      <c r="L35" s="96">
        <f t="shared" si="3"/>
        <v>0.9225267120633338</v>
      </c>
      <c r="M35" s="102">
        <f>SUM(M36:M38)</f>
        <v>1075</v>
      </c>
      <c r="N35" s="102">
        <f>SUM(N36:N38)</f>
        <v>1218.1</v>
      </c>
      <c r="O35" s="96">
        <f t="shared" si="4"/>
        <v>0.8825219604301782</v>
      </c>
      <c r="P35" s="102">
        <f>SUM(P36:P38)</f>
        <v>0</v>
      </c>
      <c r="Q35" s="102">
        <f>SUM(Q36:Q38)</f>
        <v>0</v>
      </c>
      <c r="R35" s="102">
        <f>SUM(R36:R38)</f>
        <v>0</v>
      </c>
      <c r="S35" s="25"/>
    </row>
    <row r="36" spans="1:19" ht="18">
      <c r="A36" s="15" t="s">
        <v>34</v>
      </c>
      <c r="B36" s="22">
        <v>1130199500</v>
      </c>
      <c r="C36" s="109">
        <f>муниц!C33</f>
        <v>8390</v>
      </c>
      <c r="D36" s="109">
        <f>муниц!D33</f>
        <v>-2062.9700000000003</v>
      </c>
      <c r="E36" s="101">
        <f t="shared" si="10"/>
        <v>6327.03</v>
      </c>
      <c r="F36" s="109">
        <f>муниц!F33</f>
        <v>5203.4</v>
      </c>
      <c r="G36" s="109">
        <f>муниц!G33</f>
        <v>5462.2</v>
      </c>
      <c r="H36" s="99">
        <f>G36+M36</f>
        <v>6087.4</v>
      </c>
      <c r="I36" s="100">
        <f>IF(E36&gt;0,H36/E36,0)</f>
        <v>0.9621259896033367</v>
      </c>
      <c r="J36" s="100">
        <f>IF(F36&gt;0,H36/F36,0)</f>
        <v>1.1698889187838721</v>
      </c>
      <c r="K36" s="109">
        <f>муниц!K33</f>
        <v>4734.1</v>
      </c>
      <c r="L36" s="100">
        <f t="shared" si="3"/>
        <v>1.2858621490885278</v>
      </c>
      <c r="M36" s="109">
        <f>муниц!M33</f>
        <v>625.2</v>
      </c>
      <c r="N36" s="109">
        <f>муниц!N33</f>
        <v>733.2</v>
      </c>
      <c r="O36" s="100">
        <f t="shared" si="4"/>
        <v>0.8527004909983633</v>
      </c>
      <c r="P36" s="110"/>
      <c r="Q36" s="111"/>
      <c r="R36" s="111"/>
      <c r="S36" s="25"/>
    </row>
    <row r="37" spans="1:19" ht="18">
      <c r="A37" s="15" t="s">
        <v>35</v>
      </c>
      <c r="B37" s="22">
        <v>1130206500</v>
      </c>
      <c r="C37" s="109">
        <f>муниц!C34+'Лен '!C31</f>
        <v>460</v>
      </c>
      <c r="D37" s="109">
        <f>муниц!D34+'Лен '!D31</f>
        <v>0</v>
      </c>
      <c r="E37" s="118">
        <f t="shared" si="10"/>
        <v>460</v>
      </c>
      <c r="F37" s="109">
        <f>муниц!F34</f>
        <v>500</v>
      </c>
      <c r="G37" s="109">
        <f>муниц!G34+'Лен '!G31</f>
        <v>347.9</v>
      </c>
      <c r="H37" s="99">
        <f>G37+M37</f>
        <v>484.6</v>
      </c>
      <c r="I37" s="100">
        <f>IF(E37&gt;0,H37/E37,0)</f>
        <v>1.0534782608695652</v>
      </c>
      <c r="J37" s="100">
        <f>IF(F37&gt;0,H37/F37,0)</f>
        <v>0.9692000000000001</v>
      </c>
      <c r="K37" s="109">
        <f>муниц!K34+'Лен '!K31</f>
        <v>495.7</v>
      </c>
      <c r="L37" s="100">
        <f t="shared" si="3"/>
        <v>0.9776074238450676</v>
      </c>
      <c r="M37" s="109">
        <f>муниц!M34+'Лен '!M31</f>
        <v>136.70000000000002</v>
      </c>
      <c r="N37" s="109">
        <f>муниц!N34+'Лен '!N31</f>
        <v>118.9</v>
      </c>
      <c r="O37" s="100">
        <f t="shared" si="4"/>
        <v>1.1497056349873844</v>
      </c>
      <c r="P37" s="110"/>
      <c r="Q37" s="111"/>
      <c r="R37" s="111"/>
      <c r="S37" s="25"/>
    </row>
    <row r="38" spans="1:19" ht="18">
      <c r="A38" s="15" t="s">
        <v>38</v>
      </c>
      <c r="B38" s="22">
        <v>1130299510</v>
      </c>
      <c r="C38" s="109">
        <f>муниц!C35+'Лен '!C32+Высокор!C28+Гост!C29+Новотр!C28+Черн!C28</f>
        <v>1168</v>
      </c>
      <c r="D38" s="153">
        <f>муниц!D35+'Лен '!D32+Высокор!D28+Гост!D29+Новотр!D28+Черн!D28</f>
        <v>2737.5</v>
      </c>
      <c r="E38" s="118">
        <f t="shared" si="10"/>
        <v>3905.5</v>
      </c>
      <c r="F38" s="109">
        <f>муниц!F35+'Лен '!F32+Высокор!F28+Гост!F29+Новотр!F28+Черн!F28</f>
        <v>0</v>
      </c>
      <c r="G38" s="109">
        <f>муниц!G35+'Лен '!G32+Высокор!G28+Гост!G29+Новотр!G28+Черн!G28</f>
        <v>1446.7</v>
      </c>
      <c r="H38" s="99">
        <f>G38+M38</f>
        <v>1759.8000000000002</v>
      </c>
      <c r="I38" s="100">
        <f>IF(E38&gt;0,H38/E38,0)</f>
        <v>0.4505953143003457</v>
      </c>
      <c r="J38" s="100">
        <f>IF(F38&gt;0,H38/F38,0)</f>
        <v>0</v>
      </c>
      <c r="K38" s="109">
        <f>муниц!K35+'Лен '!K32+Высокор!K28+Гост!K29+Новотр!K28+Черн!K28</f>
        <v>3801.7</v>
      </c>
      <c r="L38" s="100">
        <f t="shared" si="3"/>
        <v>0.46289817713128345</v>
      </c>
      <c r="M38" s="109">
        <f>муниц!M35+'Лен '!M32+Высокор!M28+Гост!M29+Новотр!M28+Черн!M28</f>
        <v>313.1</v>
      </c>
      <c r="N38" s="109">
        <f>муниц!N35+'Лен '!N32+Высокор!N28+Гост!N29+Новотр!N28+Черн!N28</f>
        <v>366</v>
      </c>
      <c r="O38" s="100">
        <f t="shared" si="4"/>
        <v>0.855464480874317</v>
      </c>
      <c r="P38" s="110"/>
      <c r="Q38" s="111"/>
      <c r="R38" s="111"/>
      <c r="S38" s="25"/>
    </row>
    <row r="39" spans="1:19" ht="18">
      <c r="A39" s="9" t="s">
        <v>85</v>
      </c>
      <c r="B39" s="18">
        <v>1140000000</v>
      </c>
      <c r="C39" s="102">
        <f aca="true" t="shared" si="13" ref="C39:H39">SUM(C40:C41)</f>
        <v>22793.8</v>
      </c>
      <c r="D39" s="102">
        <f t="shared" si="13"/>
        <v>-11514.457000000002</v>
      </c>
      <c r="E39" s="102">
        <f t="shared" si="13"/>
        <v>11279.342999999997</v>
      </c>
      <c r="F39" s="102">
        <f t="shared" si="13"/>
        <v>0</v>
      </c>
      <c r="G39" s="102">
        <f t="shared" si="13"/>
        <v>11359.8</v>
      </c>
      <c r="H39" s="102">
        <f t="shared" si="13"/>
        <v>11515.9</v>
      </c>
      <c r="I39" s="96">
        <f t="shared" si="1"/>
        <v>1.0209725867898514</v>
      </c>
      <c r="J39" s="96">
        <f t="shared" si="2"/>
        <v>0</v>
      </c>
      <c r="K39" s="102">
        <f>SUM(K40:K41)</f>
        <v>147.2</v>
      </c>
      <c r="L39" s="96">
        <f t="shared" si="3"/>
        <v>78.23301630434783</v>
      </c>
      <c r="M39" s="102">
        <f>SUM(M40:M41)</f>
        <v>156.1</v>
      </c>
      <c r="N39" s="102">
        <f>SUM(N40:N41)</f>
        <v>-0.30000000000000004</v>
      </c>
      <c r="O39" s="96">
        <f t="shared" si="4"/>
        <v>0</v>
      </c>
      <c r="P39" s="105"/>
      <c r="Q39" s="105"/>
      <c r="R39" s="105"/>
      <c r="S39" s="25"/>
    </row>
    <row r="40" spans="1:19" ht="18">
      <c r="A40" s="13" t="s">
        <v>31</v>
      </c>
      <c r="B40" s="13">
        <v>1140205200</v>
      </c>
      <c r="C40" s="109">
        <f>муниц!C37+'Лен '!C34+Высокор!C29+Гост!C30+Новотр!C30+Черн!C29</f>
        <v>22643.8</v>
      </c>
      <c r="D40" s="109">
        <f>муниц!D37+'Лен '!D34+Высокор!D29+Гост!D30+Новотр!D30+Черн!D29</f>
        <v>-14289.880000000001</v>
      </c>
      <c r="E40" s="101">
        <f t="shared" si="10"/>
        <v>8353.919999999998</v>
      </c>
      <c r="F40" s="109">
        <f>муниц!F37+'Лен '!F34+Высокор!F29+Гост!F30+Новотр!F30+Черн!F29</f>
        <v>0</v>
      </c>
      <c r="G40" s="109">
        <f>муниц!G37+'Лен '!G34+Высокор!G29+Гост!G30+Новотр!G30+Черн!G29</f>
        <v>8361.1</v>
      </c>
      <c r="H40" s="99">
        <f>G40+M40</f>
        <v>8365.1</v>
      </c>
      <c r="I40" s="100">
        <f t="shared" si="1"/>
        <v>1.001338293878802</v>
      </c>
      <c r="J40" s="100">
        <f t="shared" si="2"/>
        <v>0</v>
      </c>
      <c r="K40" s="109">
        <f>муниц!K37+'Лен '!K34+Высокор!K29+Гост!K30+Новотр!K30+Черн!K29</f>
        <v>104.5</v>
      </c>
      <c r="L40" s="100">
        <f t="shared" si="3"/>
        <v>80.0488038277512</v>
      </c>
      <c r="M40" s="109">
        <f>муниц!M37+'Лен '!M34+Высокор!M29+Гост!M30+Новотр!M30+Черн!M29</f>
        <v>4</v>
      </c>
      <c r="N40" s="109">
        <f>муниц!N37+'Лен '!N34+Высокор!N29+Гост!N30+Новотр!N30+Черн!N29</f>
        <v>0</v>
      </c>
      <c r="O40" s="100">
        <f t="shared" si="4"/>
        <v>0</v>
      </c>
      <c r="P40" s="111"/>
      <c r="Q40" s="111"/>
      <c r="R40" s="111"/>
      <c r="S40" s="25"/>
    </row>
    <row r="41" spans="1:19" ht="18">
      <c r="A41" s="13" t="s">
        <v>32</v>
      </c>
      <c r="B41" s="13">
        <v>1140600000</v>
      </c>
      <c r="C41" s="109">
        <f>муниц!C38+'Лен '!C35+Высокор!C30+Гост!C31+Новотр!C29+Черн!C30+'Лен '!C36</f>
        <v>150</v>
      </c>
      <c r="D41" s="109">
        <f>муниц!D38+'Лен '!D35+Высокор!D30+Гост!D31+Новотр!D29+Черн!D30+'Лен '!D36</f>
        <v>2775.423</v>
      </c>
      <c r="E41" s="101">
        <f t="shared" si="10"/>
        <v>2925.423</v>
      </c>
      <c r="F41" s="109">
        <f>муниц!F38+'Лен '!F35+Высокор!F30+Гост!F31+Новотр!F29+Черн!F30</f>
        <v>0</v>
      </c>
      <c r="G41" s="109">
        <f>муниц!G38+'Лен '!G35+Высокор!G30+Гост!G31+Новотр!G29+Черн!G30+'Лен '!G36</f>
        <v>2998.7</v>
      </c>
      <c r="H41" s="99">
        <f>G41+M41</f>
        <v>3150.7999999999997</v>
      </c>
      <c r="I41" s="100">
        <f t="shared" si="1"/>
        <v>1.0770408245234961</v>
      </c>
      <c r="J41" s="100">
        <f t="shared" si="2"/>
        <v>0</v>
      </c>
      <c r="K41" s="109">
        <f>муниц!K38+'Лен '!K35+Высокор!K30+Гост!K31+Новотр!K29+Черн!K30+'Лен '!K36</f>
        <v>42.7</v>
      </c>
      <c r="L41" s="100">
        <f t="shared" si="3"/>
        <v>73.78922716627633</v>
      </c>
      <c r="M41" s="109">
        <f>муниц!M38+'Лен '!M35+Высокор!M30+Гост!M31+Новотр!M29+Черн!M30+'Лен '!M36</f>
        <v>152.1</v>
      </c>
      <c r="N41" s="109">
        <f>муниц!N38+'Лен '!N35+Высокор!N30+Гост!N31+Новотр!N29+Черн!N30+'Лен '!N36</f>
        <v>-0.30000000000000004</v>
      </c>
      <c r="O41" s="100">
        <f t="shared" si="4"/>
        <v>0</v>
      </c>
      <c r="P41" s="111"/>
      <c r="Q41" s="111"/>
      <c r="R41" s="111"/>
      <c r="S41" s="25"/>
    </row>
    <row r="42" spans="1:19" ht="18">
      <c r="A42" s="9" t="s">
        <v>86</v>
      </c>
      <c r="B42" s="18">
        <v>1160000000</v>
      </c>
      <c r="C42" s="102">
        <f>муниц!C39+'Лен '!C37+Высокор!C31+Гост!C32+Новотр!C31+Черн!C31</f>
        <v>6</v>
      </c>
      <c r="D42" s="102">
        <f>муниц!D39+'Лен '!D37+Высокор!D31+Гост!D32+Новотр!D31+Черн!D31</f>
        <v>2958.5600000000004</v>
      </c>
      <c r="E42" s="104">
        <f t="shared" si="10"/>
        <v>2964.5600000000004</v>
      </c>
      <c r="F42" s="102">
        <f>муниц!F39+'Лен '!F37+Высокор!F31+Гост!F32+Новотр!F31+Черн!F31</f>
        <v>83</v>
      </c>
      <c r="G42" s="102">
        <f>муниц!G39+'Лен '!G37+Высокор!G31+Гост!G32+Новотр!G31+Черн!G31</f>
        <v>2894.5</v>
      </c>
      <c r="H42" s="95">
        <f>G42+M42</f>
        <v>3453.9</v>
      </c>
      <c r="I42" s="96">
        <f t="shared" si="1"/>
        <v>1.1650632808915993</v>
      </c>
      <c r="J42" s="96">
        <f t="shared" si="2"/>
        <v>41.6132530120482</v>
      </c>
      <c r="K42" s="102">
        <f>муниц!K39+'Лен '!K37+Высокор!K31+Гост!K32+Новотр!K31+Черн!K31</f>
        <v>1596.3</v>
      </c>
      <c r="L42" s="96">
        <f t="shared" si="3"/>
        <v>2.1636910355196393</v>
      </c>
      <c r="M42" s="102">
        <f>муниц!M39+'Лен '!M37+Высокор!M31+Гост!M32+Новотр!M31+Черн!M31</f>
        <v>559.4</v>
      </c>
      <c r="N42" s="102">
        <f>муниц!N39+'Лен '!N37+Высокор!N31+Гост!N32+Новотр!N31+Черн!N31</f>
        <v>47.5</v>
      </c>
      <c r="O42" s="96">
        <f t="shared" si="4"/>
        <v>11.776842105263157</v>
      </c>
      <c r="P42" s="105"/>
      <c r="Q42" s="105"/>
      <c r="R42" s="105"/>
      <c r="S42" s="25"/>
    </row>
    <row r="43" spans="1:19" ht="18">
      <c r="A43" s="9" t="s">
        <v>87</v>
      </c>
      <c r="B43" s="18">
        <v>1170000000</v>
      </c>
      <c r="C43" s="102">
        <f>SUM(C44:C46)</f>
        <v>0</v>
      </c>
      <c r="D43" s="102">
        <f>SUM(D44:D46)</f>
        <v>415.115</v>
      </c>
      <c r="E43" s="104">
        <f t="shared" si="10"/>
        <v>415.115</v>
      </c>
      <c r="F43" s="102">
        <f>SUM(F44:F45)</f>
        <v>0</v>
      </c>
      <c r="G43" s="102">
        <f>SUM(G44:G46)</f>
        <v>485.5</v>
      </c>
      <c r="H43" s="95">
        <f>SUM(H44:H46)</f>
        <v>486.8</v>
      </c>
      <c r="I43" s="96">
        <f t="shared" si="1"/>
        <v>1.1726870867109114</v>
      </c>
      <c r="J43" s="96">
        <f t="shared" si="2"/>
        <v>0</v>
      </c>
      <c r="K43" s="102">
        <f>SUM(K44:K45)</f>
        <v>-1.1</v>
      </c>
      <c r="L43" s="96">
        <f t="shared" si="3"/>
        <v>0</v>
      </c>
      <c r="M43" s="102">
        <f>SUM(M44:M46)</f>
        <v>1.3000000000000003</v>
      </c>
      <c r="N43" s="102">
        <f>SUM(N44:N45)</f>
        <v>-0.19999999999999996</v>
      </c>
      <c r="O43" s="96">
        <f t="shared" si="4"/>
        <v>0</v>
      </c>
      <c r="P43" s="102">
        <f>SUM(P44:P45)</f>
        <v>0</v>
      </c>
      <c r="Q43" s="102">
        <f>SUM(Q44:Q45)</f>
        <v>0</v>
      </c>
      <c r="R43" s="102">
        <f>SUM(R44:R45)</f>
        <v>0</v>
      </c>
      <c r="S43" s="25"/>
    </row>
    <row r="44" spans="1:19" ht="18">
      <c r="A44" s="13" t="s">
        <v>8</v>
      </c>
      <c r="B44" s="13">
        <v>1170105005</v>
      </c>
      <c r="C44" s="97"/>
      <c r="D44" s="97"/>
      <c r="E44" s="101">
        <f>C44+D44</f>
        <v>0</v>
      </c>
      <c r="F44" s="97"/>
      <c r="G44" s="97">
        <f>муниц!G41+'Лен '!G39+Высокор!G33+Гост!G34+Новотр!G33+Черн!G33</f>
        <v>0</v>
      </c>
      <c r="H44" s="99">
        <f>G44+M44</f>
        <v>0.1</v>
      </c>
      <c r="I44" s="100">
        <f t="shared" si="1"/>
        <v>0</v>
      </c>
      <c r="J44" s="100">
        <f t="shared" si="2"/>
        <v>0</v>
      </c>
      <c r="K44" s="97">
        <f>муниц!K41+'Лен '!K39+Высокор!K33+Гост!K34+Новотр!K33+Черн!K33</f>
        <v>-3.1</v>
      </c>
      <c r="L44" s="100">
        <f t="shared" si="3"/>
        <v>0</v>
      </c>
      <c r="M44" s="97">
        <f>муниц!M41+'Лен '!M39+Высокор!M33+Гост!M34+Новотр!M33+Черн!M33</f>
        <v>0.1</v>
      </c>
      <c r="N44" s="97">
        <f>муниц!N41+'Лен '!N39+Высокор!N33+Гост!N34+Новотр!N33+Черн!N33</f>
        <v>-0.7</v>
      </c>
      <c r="O44" s="100">
        <f t="shared" si="4"/>
        <v>0</v>
      </c>
      <c r="P44" s="100"/>
      <c r="Q44" s="108"/>
      <c r="R44" s="108"/>
      <c r="S44" s="25"/>
    </row>
    <row r="45" spans="1:19" ht="18">
      <c r="A45" s="13" t="s">
        <v>14</v>
      </c>
      <c r="B45" s="13">
        <v>1170505005</v>
      </c>
      <c r="C45" s="97">
        <f>муниц!C42+'Лен '!C40+Высокор!C34+Гост!C35+Новотр!C34+Черн!C34</f>
        <v>0</v>
      </c>
      <c r="D45" s="97">
        <f>муниц!D42+'Лен '!D40+Высокор!D34+Гост!D35+Новотр!D34+Черн!D34</f>
        <v>2.015</v>
      </c>
      <c r="E45" s="101">
        <f>C45+D45</f>
        <v>2.015</v>
      </c>
      <c r="F45" s="97">
        <f>муниц!F42+'Лен '!F40+Высокор!F34+Гост!F35+Новотр!F34+Черн!F34</f>
        <v>0</v>
      </c>
      <c r="G45" s="97">
        <f>муниц!G42+'Лен '!G40+Высокор!G34+Гост!G35+Новотр!G34+Черн!G34</f>
        <v>1.3</v>
      </c>
      <c r="H45" s="99">
        <f>G45+M45</f>
        <v>2.5</v>
      </c>
      <c r="I45" s="100">
        <f t="shared" si="1"/>
        <v>1.2406947890818858</v>
      </c>
      <c r="J45" s="100">
        <f t="shared" si="2"/>
        <v>0</v>
      </c>
      <c r="K45" s="97">
        <f>муниц!K42+'Лен '!K40+Высокор!K34+Гост!K35+Новотр!K34+Черн!K34</f>
        <v>2</v>
      </c>
      <c r="L45" s="100">
        <f t="shared" si="3"/>
        <v>1.25</v>
      </c>
      <c r="M45" s="97">
        <f>муниц!M42+'Лен '!M40+Высокор!M34+Гост!M35+Новотр!M34+Черн!M34</f>
        <v>1.2000000000000002</v>
      </c>
      <c r="N45" s="97">
        <f>муниц!N42+'Лен '!N40+Высокор!N34+Гост!N35+Новотр!N34+Черн!N34</f>
        <v>0.5</v>
      </c>
      <c r="O45" s="100">
        <f t="shared" si="4"/>
        <v>2.4000000000000004</v>
      </c>
      <c r="P45" s="97"/>
      <c r="Q45" s="97"/>
      <c r="R45" s="97"/>
      <c r="S45" s="25"/>
    </row>
    <row r="46" spans="1:19" ht="18.75">
      <c r="A46" s="176" t="s">
        <v>118</v>
      </c>
      <c r="B46" s="13">
        <v>1171503005</v>
      </c>
      <c r="C46" s="97"/>
      <c r="D46" s="97">
        <f>муниц!D43</f>
        <v>413.1</v>
      </c>
      <c r="E46" s="101">
        <f>C46+D46</f>
        <v>413.1</v>
      </c>
      <c r="F46" s="97"/>
      <c r="G46" s="97">
        <f>муниц!G43</f>
        <v>484.2</v>
      </c>
      <c r="H46" s="99">
        <f>G46+M46</f>
        <v>484.2</v>
      </c>
      <c r="I46" s="100">
        <f t="shared" si="1"/>
        <v>1.1721132897603486</v>
      </c>
      <c r="J46" s="100"/>
      <c r="K46" s="97"/>
      <c r="L46" s="100">
        <f t="shared" si="3"/>
        <v>0</v>
      </c>
      <c r="M46" s="97">
        <f>муниц!M43</f>
        <v>0</v>
      </c>
      <c r="N46" s="97"/>
      <c r="O46" s="100">
        <f t="shared" si="4"/>
        <v>0</v>
      </c>
      <c r="P46" s="97"/>
      <c r="Q46" s="97"/>
      <c r="R46" s="97"/>
      <c r="S46" s="25"/>
    </row>
    <row r="47" spans="1:19" ht="18">
      <c r="A47" s="16" t="s">
        <v>6</v>
      </c>
      <c r="B47" s="23">
        <v>1000000000</v>
      </c>
      <c r="C47" s="112">
        <f aca="true" t="shared" si="14" ref="C47:H47">C5+C27</f>
        <v>105616.027</v>
      </c>
      <c r="D47" s="112">
        <f t="shared" si="14"/>
        <v>7524.218999999998</v>
      </c>
      <c r="E47" s="175">
        <f t="shared" si="14"/>
        <v>113140.24599999998</v>
      </c>
      <c r="F47" s="114" t="e">
        <f t="shared" si="14"/>
        <v>#REF!</v>
      </c>
      <c r="G47" s="115">
        <f t="shared" si="14"/>
        <v>106671.5</v>
      </c>
      <c r="H47" s="115">
        <f t="shared" si="14"/>
        <v>115556.90000000002</v>
      </c>
      <c r="I47" s="116">
        <f t="shared" si="1"/>
        <v>1.0213598086042701</v>
      </c>
      <c r="J47" s="116" t="e">
        <f t="shared" si="2"/>
        <v>#REF!</v>
      </c>
      <c r="K47" s="113">
        <f>K5+K27</f>
        <v>87693.3</v>
      </c>
      <c r="L47" s="116">
        <f t="shared" si="3"/>
        <v>1.3177392115475186</v>
      </c>
      <c r="M47" s="115">
        <f>M5+M27</f>
        <v>8885.400000000001</v>
      </c>
      <c r="N47" s="115">
        <f>N5+N27</f>
        <v>8207</v>
      </c>
      <c r="O47" s="116">
        <f t="shared" si="4"/>
        <v>1.08266114292677</v>
      </c>
      <c r="P47" s="113">
        <f>P5+P27</f>
        <v>1906.2000000000003</v>
      </c>
      <c r="Q47" s="113">
        <f>Q5+Q27</f>
        <v>1360.6999999999998</v>
      </c>
      <c r="R47" s="113">
        <f>R5+R27</f>
        <v>1276.9</v>
      </c>
      <c r="S47" s="25"/>
    </row>
    <row r="48" spans="1:19" ht="18">
      <c r="A48" s="13" t="s">
        <v>36</v>
      </c>
      <c r="B48" s="21">
        <v>2000000000</v>
      </c>
      <c r="C48" s="117">
        <f>муниц!C46+498.3</f>
        <v>197802.732</v>
      </c>
      <c r="D48" s="117">
        <f>муниц!D46+3459.5</f>
        <v>17579.760000000002</v>
      </c>
      <c r="E48" s="118">
        <f>C48+D48</f>
        <v>215382.492</v>
      </c>
      <c r="F48" s="99">
        <f>муниц!F46</f>
        <v>74695.19</v>
      </c>
      <c r="G48" s="99">
        <f>муниц!G46+2984.6+331.7+544.9+13.6</f>
        <v>193267.40000000002</v>
      </c>
      <c r="H48" s="99">
        <f>G48+M48</f>
        <v>211526.2</v>
      </c>
      <c r="I48" s="100">
        <f t="shared" si="1"/>
        <v>0.9820956106311557</v>
      </c>
      <c r="J48" s="100">
        <f t="shared" si="2"/>
        <v>2.831858383384526</v>
      </c>
      <c r="K48" s="99">
        <v>218919.8</v>
      </c>
      <c r="L48" s="100">
        <f t="shared" si="3"/>
        <v>0.9662269013583971</v>
      </c>
      <c r="M48" s="99">
        <f>муниц!M46+83</f>
        <v>18258.8</v>
      </c>
      <c r="N48" s="99">
        <v>26707.4</v>
      </c>
      <c r="O48" s="100">
        <f t="shared" si="4"/>
        <v>0.6836607082681204</v>
      </c>
      <c r="P48" s="108"/>
      <c r="Q48" s="108"/>
      <c r="R48" s="108"/>
      <c r="S48" s="25"/>
    </row>
    <row r="49" spans="1:19" ht="18">
      <c r="A49" s="8" t="s">
        <v>45</v>
      </c>
      <c r="B49" s="21">
        <v>2070000000</v>
      </c>
      <c r="C49" s="97">
        <f>муниц!C47+'Лен '!C44+Высокор!C38+Гост!C39+Новотр!C38+Черн!C38</f>
        <v>0</v>
      </c>
      <c r="D49" s="180">
        <f>муниц!D47+муниц!D48+'Лен '!D44+Высокор!D38+Гост!D39+Новотр!D38+Черн!D38</f>
        <v>2197.71</v>
      </c>
      <c r="E49" s="101">
        <f>C49+D49</f>
        <v>2197.71</v>
      </c>
      <c r="F49" s="97">
        <f>муниц!F47+'Лен '!F44+Высокор!F38+Гост!F39+Новотр!F38+Черн!F38</f>
        <v>0</v>
      </c>
      <c r="G49" s="97">
        <f>муниц!G47+муниц!G48+'Лен '!G44+Высокор!G38+Гост!G39+Новотр!G38+Черн!G38</f>
        <v>1829.7</v>
      </c>
      <c r="H49" s="99">
        <f>G49+M49</f>
        <v>2234.4</v>
      </c>
      <c r="I49" s="100">
        <f>IF(E49&gt;0,H49/E49,0)</f>
        <v>1.0166946503405818</v>
      </c>
      <c r="J49" s="100">
        <f>IF(F49&gt;0,H49/F49,0)</f>
        <v>0</v>
      </c>
      <c r="K49" s="97">
        <v>1118.9</v>
      </c>
      <c r="L49" s="100">
        <f t="shared" si="3"/>
        <v>1.996961301278041</v>
      </c>
      <c r="M49" s="97">
        <f>муниц!M47+муниц!M48+'Лен '!M44+Высокор!M38+Гост!M39+Новотр!M38+Черн!M38</f>
        <v>404.7</v>
      </c>
      <c r="N49" s="97">
        <v>189.6</v>
      </c>
      <c r="O49" s="100">
        <f t="shared" si="4"/>
        <v>2.134493670886076</v>
      </c>
      <c r="P49" s="108"/>
      <c r="Q49" s="108"/>
      <c r="R49" s="108"/>
      <c r="S49" s="25"/>
    </row>
    <row r="50" spans="1:19" ht="20.25" customHeight="1">
      <c r="A50" s="8" t="s">
        <v>92</v>
      </c>
      <c r="B50" s="125" t="s">
        <v>93</v>
      </c>
      <c r="C50" s="97"/>
      <c r="D50" s="97">
        <f>муниц!D49</f>
        <v>0</v>
      </c>
      <c r="E50" s="101">
        <f>C50+D50</f>
        <v>0</v>
      </c>
      <c r="F50" s="97"/>
      <c r="G50" s="99">
        <f>муниц!G49</f>
        <v>-2.7</v>
      </c>
      <c r="H50" s="99">
        <f>G50+M50</f>
        <v>-2.7</v>
      </c>
      <c r="I50" s="100"/>
      <c r="J50" s="100"/>
      <c r="K50" s="97">
        <f>муниц!K49</f>
        <v>-120.6</v>
      </c>
      <c r="L50" s="100">
        <f t="shared" si="3"/>
        <v>0</v>
      </c>
      <c r="M50" s="97">
        <f>муниц!M49</f>
        <v>0</v>
      </c>
      <c r="N50" s="97">
        <f>муниц!N49</f>
        <v>0</v>
      </c>
      <c r="O50" s="100">
        <f t="shared" si="4"/>
        <v>0</v>
      </c>
      <c r="P50" s="108"/>
      <c r="Q50" s="108"/>
      <c r="R50" s="108"/>
      <c r="S50" s="25"/>
    </row>
    <row r="51" spans="1:19" ht="18">
      <c r="A51" s="16" t="s">
        <v>2</v>
      </c>
      <c r="B51" s="24"/>
      <c r="C51" s="115">
        <f>C47+C48+C49+C50</f>
        <v>303418.75899999996</v>
      </c>
      <c r="D51" s="115">
        <f>D47+D48+D49+D50</f>
        <v>27301.689</v>
      </c>
      <c r="E51" s="112">
        <f>E47+E48+E49+E50</f>
        <v>330720.44800000003</v>
      </c>
      <c r="F51" s="113" t="e">
        <f>F47+F48+F49</f>
        <v>#REF!</v>
      </c>
      <c r="G51" s="115">
        <f>G47+G48+G49+G50</f>
        <v>301765.9</v>
      </c>
      <c r="H51" s="115">
        <f>H47+H48+H49+H50</f>
        <v>329314.80000000005</v>
      </c>
      <c r="I51" s="116">
        <f t="shared" si="1"/>
        <v>0.9957497396713735</v>
      </c>
      <c r="J51" s="116" t="e">
        <f t="shared" si="2"/>
        <v>#REF!</v>
      </c>
      <c r="K51" s="115">
        <f>K47+K48+K49+K50</f>
        <v>307611.4</v>
      </c>
      <c r="L51" s="116">
        <f t="shared" si="3"/>
        <v>1.0705546023326835</v>
      </c>
      <c r="M51" s="115">
        <f>M47+M48+M49+M50</f>
        <v>27548.9</v>
      </c>
      <c r="N51" s="115">
        <f>N47+N48+N49+N50</f>
        <v>35104</v>
      </c>
      <c r="O51" s="116">
        <f t="shared" si="4"/>
        <v>0.78477951230629</v>
      </c>
      <c r="P51" s="113">
        <f>P47+P48</f>
        <v>1906.2000000000003</v>
      </c>
      <c r="Q51" s="113">
        <f>Q47+Q48</f>
        <v>1360.6999999999998</v>
      </c>
      <c r="R51" s="113">
        <f>R47+R48</f>
        <v>1276.9</v>
      </c>
      <c r="S51" s="25"/>
    </row>
    <row r="52" spans="2:19" ht="15">
      <c r="B52" s="25"/>
      <c r="C52" s="25"/>
      <c r="D52" s="25"/>
      <c r="E52" s="25"/>
      <c r="F52" s="25"/>
      <c r="G52" s="25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8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ht="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ht="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ht="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ht="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ht="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ht="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ht="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ht="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ht="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ht="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ht="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ht="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ht="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ht="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ht="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ht="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ht="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ht="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ht="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ht="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ht="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ht="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ht="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2:18" ht="1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ht="1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ht="1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18" ht="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2:18" ht="1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2:18" ht="1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2:18" ht="1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</sheetData>
  <sheetProtection/>
  <mergeCells count="15">
    <mergeCell ref="N3:N4"/>
    <mergeCell ref="O3:O4"/>
    <mergeCell ref="H3:J3"/>
    <mergeCell ref="A3:A4"/>
    <mergeCell ref="B3:B4"/>
    <mergeCell ref="E2:R2"/>
    <mergeCell ref="D3:D4"/>
    <mergeCell ref="E3:E4"/>
    <mergeCell ref="G3:G4"/>
    <mergeCell ref="F3:F4"/>
    <mergeCell ref="C3:C4"/>
    <mergeCell ref="A1:R1"/>
    <mergeCell ref="K3:L3"/>
    <mergeCell ref="P3:R3"/>
    <mergeCell ref="M3:M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2021-12-24T06:30:45Z</cp:lastPrinted>
  <dcterms:created xsi:type="dcterms:W3CDTF">2003-11-05T12:49:21Z</dcterms:created>
  <dcterms:modified xsi:type="dcterms:W3CDTF">2022-02-14T07:29:17Z</dcterms:modified>
  <cp:category/>
  <cp:version/>
  <cp:contentType/>
  <cp:contentStatus/>
</cp:coreProperties>
</file>