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'консолид'!$A$1:$S$51</definedName>
    <definedName name="_xlnm.Print_Area" localSheetId="0">'муниц'!$A$1:$S$51</definedName>
    <definedName name="_xlnm.Print_Area" localSheetId="5">'Черн'!$A$1:$R$39</definedName>
  </definedNames>
  <calcPr fullCalcOnLoad="1"/>
</workbook>
</file>

<file path=xl/sharedStrings.xml><?xml version="1.0" encoding="utf-8"?>
<sst xmlns="http://schemas.openxmlformats.org/spreadsheetml/2006/main" count="449" uniqueCount="132">
  <si>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</si>
  <si>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</si>
  <si>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</si>
  <si>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</si>
  <si>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</si>
  <si>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</si>
  <si>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</si>
  <si>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</si>
  <si>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</si>
  <si>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</si>
  <si>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</si>
  <si>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</si>
  <si>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</si>
  <si>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</si>
  <si>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</si>
  <si>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</si>
  <si>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</si>
  <si>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</si>
  <si>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</si>
  <si>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</si>
  <si>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</si>
  <si>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</si>
  <si>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</si>
  <si>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</si>
  <si>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</si>
  <si>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</si>
  <si>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</si>
  <si>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</si>
  <si>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</si>
  <si>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</si>
  <si>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</si>
  <si>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</si>
  <si>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</si>
  <si>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</si>
  <si>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</si>
  <si>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</si>
  <si>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</si>
  <si>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</si>
  <si>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</si>
  <si>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</si>
  <si>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</si>
  <si>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</si>
  <si>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</si>
  <si>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</si>
  <si>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</si>
  <si>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</si>
  <si>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</si>
  <si>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</si>
  <si>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</si>
  <si>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</si>
  <si>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</si>
  <si>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</si>
  <si>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</si>
  <si>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</si>
  <si>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</si>
  <si>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</si>
  <si>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</si>
  <si>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</si>
  <si>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</si>
  <si>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</si>
  <si>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</si>
  <si>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</si>
  <si>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</si>
  <si>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</si>
  <si>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</si>
  <si>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</si>
  <si>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</si>
  <si>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</si>
  <si>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</si>
  <si>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</si>
  <si>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</si>
  <si>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</si>
  <si>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</si>
  <si>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</si>
  <si>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</si>
  <si>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</si>
  <si>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</si>
  <si>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</si>
  <si>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</si>
  <si>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</si>
  <si>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</si>
  <si>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</si>
  <si>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</si>
  <si>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</si>
  <si>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</si>
  <si>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</si>
  <si>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</si>
  <si>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</si>
  <si>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</si>
  <si>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</si>
  <si>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</si>
  <si>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</si>
  <si>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</si>
  <si>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</si>
  <si>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</si>
  <si>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</si>
  <si>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</si>
  <si>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</si>
  <si>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</si>
  <si>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</si>
  <si>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</si>
  <si>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</si>
  <si>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</si>
  <si>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</si>
  <si>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</si>
  <si>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</si>
  <si>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</si>
  <si>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</si>
  <si>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</si>
  <si>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</si>
  <si>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</si>
  <si>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2020 год</t>
  </si>
  <si>
    <t>доходы от сдачи в аренду им-ва в казне</t>
  </si>
  <si>
    <t>Первоначальный план на 2021 год</t>
  </si>
  <si>
    <t>Уточненный план на 2021 год</t>
  </si>
  <si>
    <t>2021 год</t>
  </si>
  <si>
    <t>Безвоз. поступл. от негосуд. организ-й</t>
  </si>
  <si>
    <t>на 01.01.2021 года</t>
  </si>
  <si>
    <t>инициативные платежи</t>
  </si>
  <si>
    <t>Фактическое исполнение за январь-май</t>
  </si>
  <si>
    <t>Сведения об исполнении бюджета муниципального района по состоянию на  01 июля  2021 года</t>
  </si>
  <si>
    <t>Фактическое исполнение за январь-июнь</t>
  </si>
  <si>
    <t>Поступило за июнь 2021 года</t>
  </si>
  <si>
    <t>Поступило за  июнь  2020 года</t>
  </si>
  <si>
    <t>на 01.06.2021 года</t>
  </si>
  <si>
    <t>на 01.07.2021 года</t>
  </si>
  <si>
    <t xml:space="preserve">об исполнении бюджета Ленинского городского поселения на 01 июля  2021 г. </t>
  </si>
  <si>
    <t>об исполнении бюджета Высокораменского сельского поселения на 01 июля   2021 г.</t>
  </si>
  <si>
    <t>об исполнении бюджета Гостовского сельского поселения на 01 июля  2021г.</t>
  </si>
  <si>
    <t>об исполнении бюджета Новотроицкого сельского поселения на 01 июля  2021 г.</t>
  </si>
  <si>
    <t>об исполнении бюджета Черновского сельского поселения на 01 июля   2021 г.</t>
  </si>
  <si>
    <t xml:space="preserve">об исполнении бюджета муниципального  образования на  01  июля  2021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</si>
</sst>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0.0000"/>
    <numFmt numFmtId="176" formatCode="[$-FC19]d\ mmmm\ yyyy\ &quot;г.&quot;"/>
    <numFmt numFmtId="177" formatCode="0.000000"/>
    <numFmt numFmtId="178" formatCode="0.00000"/>
    <numFmt numFmtId="179" formatCode="0.0000000"/>
    <numFmt numFmtId="180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73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72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72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72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72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72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73" fontId="13" fillId="33" borderId="12" xfId="0" applyNumberFormat="1" applyFont="1" applyFill="1" applyBorder="1" applyAlignment="1">
      <alignment/>
    </xf>
    <xf numFmtId="173" fontId="13" fillId="33" borderId="13" xfId="0" applyNumberFormat="1" applyFont="1" applyFill="1" applyBorder="1" applyAlignment="1">
      <alignment/>
    </xf>
    <xf numFmtId="172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73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72" fontId="13" fillId="33" borderId="12" xfId="55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3" xfId="55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74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/>
    </xf>
    <xf numFmtId="172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72" fontId="5" fillId="34" borderId="12" xfId="55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72" fontId="5" fillId="34" borderId="12" xfId="55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/>
    </xf>
    <xf numFmtId="172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73" fontId="5" fillId="33" borderId="12" xfId="0" applyNumberFormat="1" applyFont="1" applyFill="1" applyBorder="1" applyAlignment="1">
      <alignment/>
    </xf>
    <xf numFmtId="172" fontId="5" fillId="33" borderId="12" xfId="55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73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4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73" fontId="5" fillId="36" borderId="12" xfId="0" applyNumberFormat="1" applyFont="1" applyFill="1" applyBorder="1" applyAlignment="1">
      <alignment/>
    </xf>
    <xf numFmtId="172" fontId="5" fillId="36" borderId="12" xfId="55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/>
    </xf>
    <xf numFmtId="174" fontId="5" fillId="33" borderId="12" xfId="0" applyNumberFormat="1" applyFont="1" applyFill="1" applyBorder="1" applyAlignment="1">
      <alignment horizontal="right" vertical="center" wrapText="1"/>
    </xf>
    <xf numFmtId="173" fontId="5" fillId="34" borderId="12" xfId="0" applyNumberFormat="1" applyFont="1" applyFill="1" applyBorder="1" applyAlignment="1">
      <alignment horizontal="right"/>
    </xf>
    <xf numFmtId="173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74" fontId="5" fillId="34" borderId="12" xfId="0" applyNumberFormat="1" applyFont="1" applyFill="1" applyBorder="1" applyAlignment="1">
      <alignment horizontal="right"/>
    </xf>
    <xf numFmtId="2" fontId="13" fillId="35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right"/>
    </xf>
    <xf numFmtId="174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74" fontId="12" fillId="0" borderId="12" xfId="0" applyNumberFormat="1" applyFont="1" applyBorder="1" applyAlignment="1">
      <alignment/>
    </xf>
    <xf numFmtId="173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72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3" fontId="13" fillId="0" borderId="13" xfId="0" applyNumberFormat="1" applyFont="1" applyFill="1" applyBorder="1" applyAlignment="1">
      <alignment/>
    </xf>
    <xf numFmtId="172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73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74" fontId="5" fillId="34" borderId="12" xfId="0" applyNumberFormat="1" applyFont="1" applyFill="1" applyBorder="1" applyAlignment="1">
      <alignment/>
    </xf>
    <xf numFmtId="174" fontId="5" fillId="35" borderId="12" xfId="0" applyNumberFormat="1" applyFont="1" applyFill="1" applyBorder="1" applyAlignment="1">
      <alignment/>
    </xf>
    <xf numFmtId="172" fontId="5" fillId="0" borderId="17" xfId="55" applyNumberFormat="1" applyFont="1" applyFill="1" applyBorder="1" applyAlignment="1">
      <alignment/>
    </xf>
    <xf numFmtId="172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73" fontId="5" fillId="0" borderId="14" xfId="0" applyNumberFormat="1" applyFont="1" applyFill="1" applyBorder="1" applyAlignment="1">
      <alignment/>
    </xf>
    <xf numFmtId="173" fontId="5" fillId="34" borderId="12" xfId="0" applyNumberFormat="1" applyFont="1" applyFill="1" applyBorder="1" applyAlignment="1">
      <alignment wrapText="1"/>
    </xf>
    <xf numFmtId="173" fontId="3" fillId="0" borderId="0" xfId="0" applyNumberFormat="1" applyFont="1" applyAlignment="1">
      <alignment/>
    </xf>
    <xf numFmtId="174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73" fontId="7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13" fillId="0" borderId="17" xfId="0" applyNumberFormat="1" applyFont="1" applyFill="1" applyBorder="1" applyAlignment="1">
      <alignment/>
    </xf>
    <xf numFmtId="180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74" fontId="5" fillId="36" borderId="12" xfId="0" applyNumberFormat="1" applyFont="1" applyFill="1" applyBorder="1" applyAlignment="1">
      <alignment horizontal="right"/>
    </xf>
    <xf numFmtId="0" fontId="12" fillId="33" borderId="12" xfId="0" applyFont="1" applyFill="1" applyBorder="1" applyAlignment="1">
      <alignment/>
    </xf>
    <xf numFmtId="173" fontId="12" fillId="0" borderId="12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SheetLayoutView="50" zoomScalePageLayoutView="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9" sqref="R29"/>
    </sheetView>
  </sheetViews>
  <sheetFormatPr defaultColWidth="9.00390625" defaultRowHeight="12.75"/>
  <cols>
    <col min="1" max="1" width="44.875" style="0" customWidth="1"/>
    <col min="2" max="2" width="14.00390625" style="0" customWidth="1"/>
    <col min="3" max="3" width="16.00390625" style="0" customWidth="1"/>
    <col min="4" max="4" width="14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3.875" style="0" customWidth="1"/>
    <col min="10" max="10" width="10.875" style="0" hidden="1" customWidth="1"/>
    <col min="11" max="11" width="13.25390625" style="0" customWidth="1"/>
    <col min="12" max="12" width="13.00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</cols>
  <sheetData>
    <row r="1" spans="1:13" ht="24.75" customHeight="1">
      <c r="A1" s="184" t="s">
        <v>120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8" ht="20.25" customHeight="1">
      <c r="A2" s="183" t="s">
        <v>28</v>
      </c>
      <c r="B2" s="183" t="s">
        <v>4</v>
      </c>
      <c r="C2" s="183" t="s">
        <v>113</v>
      </c>
      <c r="D2" s="183" t="s">
        <v>24</v>
      </c>
      <c r="E2" s="183" t="s">
        <v>114</v>
      </c>
      <c r="F2" s="183" t="s">
        <v>98</v>
      </c>
      <c r="G2" s="183" t="s">
        <v>119</v>
      </c>
      <c r="H2" s="183" t="s">
        <v>115</v>
      </c>
      <c r="I2" s="183"/>
      <c r="J2" s="183"/>
      <c r="K2" s="183" t="s">
        <v>111</v>
      </c>
      <c r="L2" s="183"/>
      <c r="M2" s="183" t="s">
        <v>122</v>
      </c>
      <c r="N2" s="183" t="s">
        <v>123</v>
      </c>
      <c r="O2" s="183" t="s">
        <v>30</v>
      </c>
      <c r="P2" s="183" t="s">
        <v>9</v>
      </c>
      <c r="Q2" s="183"/>
      <c r="R2" s="183"/>
    </row>
    <row r="3" spans="1:18" ht="97.5" customHeight="1">
      <c r="A3" s="183"/>
      <c r="B3" s="183"/>
      <c r="C3" s="183"/>
      <c r="D3" s="183"/>
      <c r="E3" s="183"/>
      <c r="F3" s="183"/>
      <c r="G3" s="183"/>
      <c r="H3" s="46" t="s">
        <v>121</v>
      </c>
      <c r="I3" s="46" t="s">
        <v>10</v>
      </c>
      <c r="J3" s="46" t="s">
        <v>29</v>
      </c>
      <c r="K3" s="46" t="s">
        <v>121</v>
      </c>
      <c r="L3" s="46" t="s">
        <v>30</v>
      </c>
      <c r="M3" s="183"/>
      <c r="N3" s="183"/>
      <c r="O3" s="183"/>
      <c r="P3" s="121" t="s">
        <v>117</v>
      </c>
      <c r="Q3" s="121" t="s">
        <v>124</v>
      </c>
      <c r="R3" s="121" t="s">
        <v>125</v>
      </c>
    </row>
    <row r="4" spans="1:18" ht="18.75">
      <c r="A4" s="34" t="s">
        <v>21</v>
      </c>
      <c r="B4" s="35"/>
      <c r="C4" s="55">
        <f aca="true" t="shared" si="0" ref="C4:H4">C5+C9+C14+C20+C21+C22</f>
        <v>54350.7</v>
      </c>
      <c r="D4" s="55">
        <f t="shared" si="0"/>
        <v>930</v>
      </c>
      <c r="E4" s="55">
        <f t="shared" si="0"/>
        <v>55280.7</v>
      </c>
      <c r="F4" s="55">
        <f t="shared" si="0"/>
        <v>28287.7</v>
      </c>
      <c r="G4" s="55">
        <f t="shared" si="0"/>
        <v>31187.2</v>
      </c>
      <c r="H4" s="55">
        <f t="shared" si="0"/>
        <v>34439.5</v>
      </c>
      <c r="I4" s="56">
        <f>IF(E4&gt;0,H4/E4,0)</f>
        <v>0.6229931965405648</v>
      </c>
      <c r="J4" s="56">
        <f>IF(F4&gt;0,H4/F4,0)</f>
        <v>1.2174726117711938</v>
      </c>
      <c r="K4" s="55">
        <f>K5+K9+K14+K20+K21+K22</f>
        <v>27414.7</v>
      </c>
      <c r="L4" s="56">
        <f aca="true" t="shared" si="1" ref="L4:L50">IF(K4&gt;0,H4/K4,0)</f>
        <v>1.2562420890981845</v>
      </c>
      <c r="M4" s="55">
        <f>M5+M9+M14+M20+M21+M22</f>
        <v>3252.2999999999997</v>
      </c>
      <c r="N4" s="55">
        <f>N5+N9+N14+N20+N21+N22</f>
        <v>3518.7000000000007</v>
      </c>
      <c r="O4" s="56">
        <f aca="true" t="shared" si="2" ref="O4:O50">IF(N4&gt;0,M4/N4,0)</f>
        <v>0.924290220820189</v>
      </c>
      <c r="P4" s="55">
        <f>P5+P9+P14+P20+P21+P22</f>
        <v>392.00000000000006</v>
      </c>
      <c r="Q4" s="55">
        <f>Q5+Q9+Q14+Q20+Q21+Q22</f>
        <v>1565.3000000000002</v>
      </c>
      <c r="R4" s="55">
        <f>R5+R9+R14+R20+R21+R22</f>
        <v>1266</v>
      </c>
    </row>
    <row r="5" spans="1:18" ht="18.75">
      <c r="A5" s="36" t="s">
        <v>62</v>
      </c>
      <c r="B5" s="37">
        <v>1010200001</v>
      </c>
      <c r="C5" s="57">
        <f aca="true" t="shared" si="3" ref="C5:H5">SUM(C6:C8)</f>
        <v>14503.699999999999</v>
      </c>
      <c r="D5" s="57">
        <f t="shared" si="3"/>
        <v>0</v>
      </c>
      <c r="E5" s="57">
        <f t="shared" si="3"/>
        <v>14503.699999999999</v>
      </c>
      <c r="F5" s="57">
        <f t="shared" si="3"/>
        <v>9897.800000000001</v>
      </c>
      <c r="G5" s="57">
        <f t="shared" si="3"/>
        <v>6143.5</v>
      </c>
      <c r="H5" s="57">
        <f t="shared" si="3"/>
        <v>7341.200000000001</v>
      </c>
      <c r="I5" s="58">
        <f>IF(E5&gt;0,H5/E5,0)</f>
        <v>0.5061604969766337</v>
      </c>
      <c r="J5" s="58">
        <f>IF(F5&gt;0,H5/F5,0)</f>
        <v>0.7417001757966417</v>
      </c>
      <c r="K5" s="57">
        <f>SUM(K6:K8)</f>
        <v>6658.4</v>
      </c>
      <c r="L5" s="58">
        <f t="shared" si="1"/>
        <v>1.102547158476511</v>
      </c>
      <c r="M5" s="57">
        <f>SUM(M6:M8)</f>
        <v>1197.7</v>
      </c>
      <c r="N5" s="57">
        <f>SUM(N6:N8)</f>
        <v>1212.7</v>
      </c>
      <c r="O5" s="58">
        <f t="shared" si="2"/>
        <v>0.9876309062422693</v>
      </c>
      <c r="P5" s="57">
        <f>SUM(P6:P8)</f>
        <v>37.5</v>
      </c>
      <c r="Q5" s="57">
        <f>SUM(Q6:Q8)</f>
        <v>30.9</v>
      </c>
      <c r="R5" s="57">
        <f>SUM(R6:R8)</f>
        <v>26.8</v>
      </c>
    </row>
    <row r="6" spans="1:19" ht="18.75" customHeight="1">
      <c r="A6" s="39" t="s">
        <v>39</v>
      </c>
      <c r="B6" s="8">
        <v>1010201001</v>
      </c>
      <c r="C6" s="59">
        <v>14419.4</v>
      </c>
      <c r="D6" s="60"/>
      <c r="E6" s="60">
        <f>C6+D6</f>
        <v>14419.4</v>
      </c>
      <c r="F6" s="60">
        <f>2700+346+3300+3328.7+150</f>
        <v>9824.7</v>
      </c>
      <c r="G6" s="60">
        <v>6096.2</v>
      </c>
      <c r="H6" s="60">
        <f>G6+M6</f>
        <v>7293</v>
      </c>
      <c r="I6" s="61">
        <f aca="true" t="shared" si="4" ref="I6:I50">IF(E6&gt;0,H6/E6,0)</f>
        <v>0.5057769394010847</v>
      </c>
      <c r="J6" s="61">
        <f aca="true" t="shared" si="5" ref="J6:J50">IF(F6&gt;0,H6/F6,0)</f>
        <v>0.7423127423738128</v>
      </c>
      <c r="K6" s="60">
        <v>6617.8</v>
      </c>
      <c r="L6" s="61">
        <f t="shared" si="1"/>
        <v>1.1020278642449153</v>
      </c>
      <c r="M6" s="60">
        <v>1196.8</v>
      </c>
      <c r="N6" s="60">
        <v>1212.7</v>
      </c>
      <c r="O6" s="61">
        <f t="shared" si="2"/>
        <v>0.9868887606168054</v>
      </c>
      <c r="P6" s="60">
        <v>20.3</v>
      </c>
      <c r="Q6" s="60">
        <v>24.2</v>
      </c>
      <c r="R6" s="60">
        <v>20.5</v>
      </c>
      <c r="S6" s="25"/>
    </row>
    <row r="7" spans="1:19" ht="21" customHeight="1">
      <c r="A7" s="39" t="s">
        <v>40</v>
      </c>
      <c r="B7" s="8">
        <v>1010202001</v>
      </c>
      <c r="C7" s="59">
        <v>36</v>
      </c>
      <c r="D7" s="60"/>
      <c r="E7" s="60">
        <f aca="true" t="shared" si="6" ref="E7:E22">C7+D7</f>
        <v>36</v>
      </c>
      <c r="F7" s="60">
        <f>26.1</f>
        <v>26.1</v>
      </c>
      <c r="G7" s="60">
        <v>20.1</v>
      </c>
      <c r="H7" s="60">
        <f>G7+M7</f>
        <v>20.1</v>
      </c>
      <c r="I7" s="61">
        <f t="shared" si="4"/>
        <v>0.5583333333333333</v>
      </c>
      <c r="J7" s="61">
        <f t="shared" si="5"/>
        <v>0.7701149425287357</v>
      </c>
      <c r="K7" s="60">
        <v>13.9</v>
      </c>
      <c r="L7" s="61">
        <f t="shared" si="1"/>
        <v>1.446043165467626</v>
      </c>
      <c r="M7" s="60"/>
      <c r="N7" s="60"/>
      <c r="O7" s="61">
        <f t="shared" si="2"/>
        <v>0</v>
      </c>
      <c r="P7" s="60"/>
      <c r="Q7" s="60"/>
      <c r="R7" s="60"/>
      <c r="S7" s="25"/>
    </row>
    <row r="8" spans="1:19" ht="21" customHeight="1">
      <c r="A8" s="39" t="s">
        <v>41</v>
      </c>
      <c r="B8" s="8">
        <v>1010203001</v>
      </c>
      <c r="C8" s="59">
        <v>48.3</v>
      </c>
      <c r="D8" s="60"/>
      <c r="E8" s="60">
        <f t="shared" si="6"/>
        <v>48.3</v>
      </c>
      <c r="F8" s="60">
        <f>2+45</f>
        <v>47</v>
      </c>
      <c r="G8" s="60">
        <v>27.2</v>
      </c>
      <c r="H8" s="60">
        <f>G8+M8</f>
        <v>28.099999999999998</v>
      </c>
      <c r="I8" s="61">
        <f t="shared" si="4"/>
        <v>0.5817805383022774</v>
      </c>
      <c r="J8" s="61">
        <f t="shared" si="5"/>
        <v>0.5978723404255318</v>
      </c>
      <c r="K8" s="60">
        <v>26.7</v>
      </c>
      <c r="L8" s="61">
        <f t="shared" si="1"/>
        <v>1.0524344569288389</v>
      </c>
      <c r="M8" s="60">
        <v>0.9</v>
      </c>
      <c r="N8" s="60"/>
      <c r="O8" s="61">
        <f t="shared" si="2"/>
        <v>0</v>
      </c>
      <c r="P8" s="60">
        <v>17.2</v>
      </c>
      <c r="Q8" s="60">
        <v>6.7</v>
      </c>
      <c r="R8" s="60">
        <v>6.3</v>
      </c>
      <c r="S8" s="25"/>
    </row>
    <row r="9" spans="1:19" ht="18" customHeight="1">
      <c r="A9" s="36" t="s">
        <v>47</v>
      </c>
      <c r="B9" s="38">
        <v>1030200001</v>
      </c>
      <c r="C9" s="57">
        <f aca="true" t="shared" si="7" ref="C9:H9">SUM(C10:C13)</f>
        <v>8336</v>
      </c>
      <c r="D9" s="57">
        <f t="shared" si="7"/>
        <v>0</v>
      </c>
      <c r="E9" s="57">
        <f t="shared" si="7"/>
        <v>8336</v>
      </c>
      <c r="F9" s="57">
        <f>925+200+490+1350+1800</f>
        <v>4765</v>
      </c>
      <c r="G9" s="57">
        <f>SUM(G10:G13)</f>
        <v>3254</v>
      </c>
      <c r="H9" s="57">
        <f t="shared" si="7"/>
        <v>3921.6000000000004</v>
      </c>
      <c r="I9" s="58">
        <f t="shared" si="4"/>
        <v>0.4704414587332054</v>
      </c>
      <c r="J9" s="58">
        <f t="shared" si="5"/>
        <v>0.8230010493179434</v>
      </c>
      <c r="K9" s="57">
        <f>SUM(K10:K13)</f>
        <v>3370.9</v>
      </c>
      <c r="L9" s="58">
        <f t="shared" si="1"/>
        <v>1.1633688332492806</v>
      </c>
      <c r="M9" s="57">
        <f>SUM(M10:M13)</f>
        <v>667.6000000000001</v>
      </c>
      <c r="N9" s="57">
        <f>SUM(N10:N13)</f>
        <v>498.1000000000001</v>
      </c>
      <c r="O9" s="58">
        <f t="shared" si="2"/>
        <v>1.3402931138325638</v>
      </c>
      <c r="P9" s="57">
        <f>SUM(P10:P13)</f>
        <v>0</v>
      </c>
      <c r="Q9" s="57">
        <f>SUM(Q10:Q13)</f>
        <v>0</v>
      </c>
      <c r="R9" s="57">
        <f>SUM(R10:R13)</f>
        <v>0</v>
      </c>
      <c r="S9" s="25"/>
    </row>
    <row r="10" spans="1:19" ht="18.75">
      <c r="A10" s="40" t="s">
        <v>48</v>
      </c>
      <c r="B10" s="40">
        <v>1030223101</v>
      </c>
      <c r="C10" s="59">
        <v>3827.6</v>
      </c>
      <c r="D10" s="60"/>
      <c r="E10" s="60">
        <f t="shared" si="6"/>
        <v>3827.6</v>
      </c>
      <c r="F10" s="60"/>
      <c r="G10" s="60">
        <v>1474.7</v>
      </c>
      <c r="H10" s="60">
        <f>G10+M10</f>
        <v>1773.3000000000002</v>
      </c>
      <c r="I10" s="61">
        <f t="shared" si="4"/>
        <v>0.4632929250705403</v>
      </c>
      <c r="J10" s="61">
        <f t="shared" si="5"/>
        <v>0</v>
      </c>
      <c r="K10" s="60">
        <v>1597.1</v>
      </c>
      <c r="L10" s="61">
        <f t="shared" si="1"/>
        <v>1.1103249639972452</v>
      </c>
      <c r="M10" s="60">
        <v>298.6</v>
      </c>
      <c r="N10" s="60">
        <v>246</v>
      </c>
      <c r="O10" s="61">
        <f t="shared" si="2"/>
        <v>1.2138211382113822</v>
      </c>
      <c r="P10" s="60"/>
      <c r="Q10" s="60"/>
      <c r="R10" s="60"/>
      <c r="S10" s="25"/>
    </row>
    <row r="11" spans="1:19" ht="18.75">
      <c r="A11" s="40" t="s">
        <v>49</v>
      </c>
      <c r="B11" s="40">
        <v>1030224101</v>
      </c>
      <c r="C11" s="59">
        <v>21.8</v>
      </c>
      <c r="D11" s="60"/>
      <c r="E11" s="60">
        <f t="shared" si="6"/>
        <v>21.8</v>
      </c>
      <c r="F11" s="60"/>
      <c r="G11" s="60">
        <v>11.1</v>
      </c>
      <c r="H11" s="60">
        <f>G11+M11</f>
        <v>13.399999999999999</v>
      </c>
      <c r="I11" s="61">
        <f t="shared" si="4"/>
        <v>0.6146788990825687</v>
      </c>
      <c r="J11" s="61">
        <f t="shared" si="5"/>
        <v>0</v>
      </c>
      <c r="K11" s="60">
        <v>10.4</v>
      </c>
      <c r="L11" s="61">
        <f t="shared" si="1"/>
        <v>1.2884615384615383</v>
      </c>
      <c r="M11" s="60">
        <v>2.3</v>
      </c>
      <c r="N11" s="60">
        <v>1.8</v>
      </c>
      <c r="O11" s="61">
        <f t="shared" si="2"/>
        <v>1.2777777777777777</v>
      </c>
      <c r="P11" s="60"/>
      <c r="Q11" s="60"/>
      <c r="R11" s="60"/>
      <c r="S11" s="25"/>
    </row>
    <row r="12" spans="1:19" ht="18.75" customHeight="1">
      <c r="A12" s="40" t="s">
        <v>50</v>
      </c>
      <c r="B12" s="40">
        <v>1030225101</v>
      </c>
      <c r="C12" s="59">
        <v>5035</v>
      </c>
      <c r="D12" s="60"/>
      <c r="E12" s="60">
        <f t="shared" si="6"/>
        <v>5035</v>
      </c>
      <c r="F12" s="60"/>
      <c r="G12" s="60">
        <v>2024.9</v>
      </c>
      <c r="H12" s="60">
        <f>G12+M12</f>
        <v>2465.9</v>
      </c>
      <c r="I12" s="61">
        <f t="shared" si="4"/>
        <v>0.48975173783515397</v>
      </c>
      <c r="J12" s="61">
        <f t="shared" si="5"/>
        <v>0</v>
      </c>
      <c r="K12" s="60">
        <v>2081.3</v>
      </c>
      <c r="L12" s="61">
        <f t="shared" si="1"/>
        <v>1.1847883534329504</v>
      </c>
      <c r="M12" s="60">
        <v>441</v>
      </c>
      <c r="N12" s="60">
        <v>285.1</v>
      </c>
      <c r="O12" s="61">
        <f t="shared" si="2"/>
        <v>1.5468256752016836</v>
      </c>
      <c r="P12" s="60"/>
      <c r="Q12" s="60"/>
      <c r="R12" s="60"/>
      <c r="S12" s="25"/>
    </row>
    <row r="13" spans="1:19" ht="18.75" customHeight="1">
      <c r="A13" s="40" t="s">
        <v>51</v>
      </c>
      <c r="B13" s="40">
        <v>1030226101</v>
      </c>
      <c r="C13" s="59">
        <v>-548.4</v>
      </c>
      <c r="D13" s="60"/>
      <c r="E13" s="60">
        <f t="shared" si="6"/>
        <v>-548.4</v>
      </c>
      <c r="F13" s="60"/>
      <c r="G13" s="60">
        <v>-256.7</v>
      </c>
      <c r="H13" s="60">
        <f>G13+M13</f>
        <v>-331</v>
      </c>
      <c r="I13" s="61">
        <f>H13/E13</f>
        <v>0.6035740335521518</v>
      </c>
      <c r="J13" s="61">
        <f t="shared" si="5"/>
        <v>0</v>
      </c>
      <c r="K13" s="60">
        <v>-317.9</v>
      </c>
      <c r="L13" s="61">
        <f t="shared" si="1"/>
        <v>0</v>
      </c>
      <c r="M13" s="60">
        <v>-74.3</v>
      </c>
      <c r="N13" s="60">
        <v>-34.8</v>
      </c>
      <c r="O13" s="61">
        <f t="shared" si="2"/>
        <v>0</v>
      </c>
      <c r="P13" s="60"/>
      <c r="Q13" s="60"/>
      <c r="R13" s="60"/>
      <c r="S13" s="25"/>
    </row>
    <row r="14" spans="1:19" ht="18.75">
      <c r="A14" s="36" t="s">
        <v>54</v>
      </c>
      <c r="B14" s="37">
        <v>1050000000</v>
      </c>
      <c r="C14" s="57">
        <f aca="true" t="shared" si="8" ref="C14:H14">SUM(C15:C19)</f>
        <v>25511</v>
      </c>
      <c r="D14" s="57">
        <f t="shared" si="8"/>
        <v>930</v>
      </c>
      <c r="E14" s="57">
        <f t="shared" si="8"/>
        <v>26441</v>
      </c>
      <c r="F14" s="57">
        <f t="shared" si="8"/>
        <v>11352.9</v>
      </c>
      <c r="G14" s="57">
        <f>G15+G16+G17+G18+G19</f>
        <v>18380.8</v>
      </c>
      <c r="H14" s="57">
        <f t="shared" si="8"/>
        <v>19707.2</v>
      </c>
      <c r="I14" s="58">
        <f t="shared" si="4"/>
        <v>0.7453273325517189</v>
      </c>
      <c r="J14" s="58">
        <f t="shared" si="5"/>
        <v>1.7358736534277586</v>
      </c>
      <c r="K14" s="57">
        <f>K15+K16+K17+K18+K19</f>
        <v>14351.2</v>
      </c>
      <c r="L14" s="58">
        <f t="shared" si="1"/>
        <v>1.3732092089860082</v>
      </c>
      <c r="M14" s="57">
        <f>M15+M16+M17+M18+M19</f>
        <v>1326.3999999999999</v>
      </c>
      <c r="N14" s="57">
        <f>SUM(N15:N19)</f>
        <v>1723.6000000000001</v>
      </c>
      <c r="O14" s="58">
        <f t="shared" si="2"/>
        <v>0.7695521002552795</v>
      </c>
      <c r="P14" s="57">
        <f>SUM(P15:P19)</f>
        <v>354.50000000000006</v>
      </c>
      <c r="Q14" s="57">
        <f>SUM(Q15:Q19)</f>
        <v>1533.4</v>
      </c>
      <c r="R14" s="57">
        <f>SUM(R15:R19)</f>
        <v>1238.2</v>
      </c>
      <c r="S14" s="25"/>
    </row>
    <row r="15" spans="1:19" ht="18.75">
      <c r="A15" s="39" t="s">
        <v>52</v>
      </c>
      <c r="B15" s="8">
        <v>1050101001</v>
      </c>
      <c r="C15" s="59">
        <v>21000</v>
      </c>
      <c r="D15" s="60"/>
      <c r="E15" s="60">
        <f t="shared" si="6"/>
        <v>21000</v>
      </c>
      <c r="F15" s="60">
        <f>1100+1131+3100+350+1370</f>
        <v>7051</v>
      </c>
      <c r="G15" s="60">
        <v>12421.9</v>
      </c>
      <c r="H15" s="60">
        <f aca="true" t="shared" si="9" ref="H15:H22">G15+M15</f>
        <v>13572.5</v>
      </c>
      <c r="I15" s="61">
        <f t="shared" si="4"/>
        <v>0.6463095238095238</v>
      </c>
      <c r="J15" s="61">
        <f t="shared" si="5"/>
        <v>1.9249042688980287</v>
      </c>
      <c r="K15" s="60">
        <v>9936.2</v>
      </c>
      <c r="L15" s="61">
        <f t="shared" si="1"/>
        <v>1.3659648557798756</v>
      </c>
      <c r="M15" s="60">
        <v>1150.6</v>
      </c>
      <c r="N15" s="60">
        <v>1203.5</v>
      </c>
      <c r="O15" s="61">
        <f t="shared" si="2"/>
        <v>0.9560448691316992</v>
      </c>
      <c r="P15" s="60">
        <f>234.8+91.9</f>
        <v>326.70000000000005</v>
      </c>
      <c r="Q15" s="60">
        <v>1507</v>
      </c>
      <c r="R15" s="60">
        <v>1215</v>
      </c>
      <c r="S15" s="25"/>
    </row>
    <row r="16" spans="1:21" ht="18.75">
      <c r="A16" s="39" t="s">
        <v>53</v>
      </c>
      <c r="B16" s="8">
        <v>1050102001</v>
      </c>
      <c r="C16" s="59">
        <v>2800</v>
      </c>
      <c r="D16" s="60"/>
      <c r="E16" s="60">
        <f t="shared" si="6"/>
        <v>2800</v>
      </c>
      <c r="F16" s="60">
        <f>100+159+500+350+400</f>
        <v>1509</v>
      </c>
      <c r="G16" s="60">
        <v>3883.6</v>
      </c>
      <c r="H16" s="60">
        <f t="shared" si="9"/>
        <v>3908.2</v>
      </c>
      <c r="I16" s="61">
        <f t="shared" si="4"/>
        <v>1.3957857142857142</v>
      </c>
      <c r="J16" s="61">
        <f t="shared" si="5"/>
        <v>2.589927104042412</v>
      </c>
      <c r="K16" s="60">
        <v>1326.9</v>
      </c>
      <c r="L16" s="61">
        <f t="shared" si="1"/>
        <v>2.9453613686035114</v>
      </c>
      <c r="M16" s="60">
        <v>24.6</v>
      </c>
      <c r="N16" s="60">
        <v>153.3</v>
      </c>
      <c r="O16" s="61">
        <f t="shared" si="2"/>
        <v>0.16046966731898238</v>
      </c>
      <c r="P16" s="60"/>
      <c r="Q16" s="60">
        <v>2.3</v>
      </c>
      <c r="R16" s="60">
        <v>2.3</v>
      </c>
      <c r="S16" s="25"/>
      <c r="U16" s="162"/>
    </row>
    <row r="17" spans="1:20" ht="18.75">
      <c r="A17" s="39" t="s">
        <v>0</v>
      </c>
      <c r="B17" s="8">
        <v>1050200002</v>
      </c>
      <c r="C17" s="59">
        <v>581</v>
      </c>
      <c r="D17" s="60">
        <f>735</f>
        <v>735</v>
      </c>
      <c r="E17" s="60">
        <f t="shared" si="6"/>
        <v>1316</v>
      </c>
      <c r="F17" s="60">
        <f>1000+126+65+1480-30</f>
        <v>2641</v>
      </c>
      <c r="G17" s="60">
        <v>1314.2</v>
      </c>
      <c r="H17" s="60">
        <f t="shared" si="9"/>
        <v>1320.7</v>
      </c>
      <c r="I17" s="61">
        <f t="shared" si="4"/>
        <v>1.0035714285714286</v>
      </c>
      <c r="J17" s="61">
        <f t="shared" si="5"/>
        <v>0.5000757288905717</v>
      </c>
      <c r="K17" s="60">
        <v>2371</v>
      </c>
      <c r="L17" s="61">
        <f t="shared" si="1"/>
        <v>0.5570223534373682</v>
      </c>
      <c r="M17" s="60">
        <v>6.5</v>
      </c>
      <c r="N17" s="60">
        <v>330.7</v>
      </c>
      <c r="O17" s="61">
        <f t="shared" si="2"/>
        <v>0.019655276685817964</v>
      </c>
      <c r="P17" s="60">
        <v>27.8</v>
      </c>
      <c r="Q17" s="60">
        <v>9.7</v>
      </c>
      <c r="R17" s="60">
        <v>6.5</v>
      </c>
      <c r="S17" s="25"/>
      <c r="T17" s="154"/>
    </row>
    <row r="18" spans="1:19" ht="18.75">
      <c r="A18" s="39" t="s">
        <v>7</v>
      </c>
      <c r="B18" s="8">
        <v>1050300001</v>
      </c>
      <c r="C18" s="59">
        <v>630</v>
      </c>
      <c r="D18" s="60"/>
      <c r="E18" s="60">
        <f t="shared" si="6"/>
        <v>630</v>
      </c>
      <c r="F18" s="60">
        <f>5.4+5.6+52</f>
        <v>63</v>
      </c>
      <c r="G18" s="60">
        <v>32.5</v>
      </c>
      <c r="H18" s="60">
        <f t="shared" si="9"/>
        <v>32.5</v>
      </c>
      <c r="I18" s="61">
        <f t="shared" si="4"/>
        <v>0.051587301587301584</v>
      </c>
      <c r="J18" s="61">
        <f t="shared" si="5"/>
        <v>0.5158730158730159</v>
      </c>
      <c r="K18" s="60">
        <v>425.5</v>
      </c>
      <c r="L18" s="61">
        <f t="shared" si="1"/>
        <v>0.07638072855464159</v>
      </c>
      <c r="M18" s="60"/>
      <c r="N18" s="60">
        <v>12.2</v>
      </c>
      <c r="O18" s="61">
        <f t="shared" si="2"/>
        <v>0</v>
      </c>
      <c r="P18" s="60"/>
      <c r="Q18" s="60">
        <v>2.7</v>
      </c>
      <c r="R18" s="60">
        <v>2.7</v>
      </c>
      <c r="S18" s="25"/>
    </row>
    <row r="19" spans="1:19" ht="18.75">
      <c r="A19" s="39" t="s">
        <v>95</v>
      </c>
      <c r="B19" s="8">
        <v>1050402002</v>
      </c>
      <c r="C19" s="59">
        <v>500</v>
      </c>
      <c r="D19" s="60">
        <f>195</f>
        <v>195</v>
      </c>
      <c r="E19" s="60">
        <f t="shared" si="6"/>
        <v>695</v>
      </c>
      <c r="F19" s="60">
        <f>50+15+2.9+21</f>
        <v>88.9</v>
      </c>
      <c r="G19" s="60">
        <v>728.6</v>
      </c>
      <c r="H19" s="60">
        <f t="shared" si="9"/>
        <v>873.3</v>
      </c>
      <c r="I19" s="61">
        <f t="shared" si="4"/>
        <v>1.256546762589928</v>
      </c>
      <c r="J19" s="61">
        <f t="shared" si="5"/>
        <v>9.823397075365579</v>
      </c>
      <c r="K19" s="60">
        <v>291.6</v>
      </c>
      <c r="L19" s="61">
        <f t="shared" si="1"/>
        <v>2.994855967078189</v>
      </c>
      <c r="M19" s="60">
        <v>144.7</v>
      </c>
      <c r="N19" s="60">
        <v>23.9</v>
      </c>
      <c r="O19" s="61">
        <f t="shared" si="2"/>
        <v>6.054393305439331</v>
      </c>
      <c r="P19" s="60"/>
      <c r="Q19" s="60">
        <v>11.7</v>
      </c>
      <c r="R19" s="60">
        <v>11.7</v>
      </c>
      <c r="S19" s="25"/>
    </row>
    <row r="20" spans="1:19" ht="16.5" customHeight="1">
      <c r="A20" s="36" t="s">
        <v>56</v>
      </c>
      <c r="B20" s="37">
        <v>1060201002</v>
      </c>
      <c r="C20" s="57">
        <v>5300</v>
      </c>
      <c r="D20" s="62"/>
      <c r="E20" s="62">
        <f t="shared" si="6"/>
        <v>5300</v>
      </c>
      <c r="F20" s="62">
        <f>300+93+770+670+150</f>
        <v>1983</v>
      </c>
      <c r="G20" s="62">
        <v>3179.9</v>
      </c>
      <c r="H20" s="62">
        <f t="shared" si="9"/>
        <v>3179.9</v>
      </c>
      <c r="I20" s="58">
        <f t="shared" si="4"/>
        <v>0.5999811320754718</v>
      </c>
      <c r="J20" s="58">
        <f t="shared" si="5"/>
        <v>1.603580433686334</v>
      </c>
      <c r="K20" s="62">
        <v>2722.8</v>
      </c>
      <c r="L20" s="58">
        <f t="shared" si="1"/>
        <v>1.1678786543264286</v>
      </c>
      <c r="M20" s="62"/>
      <c r="N20" s="62">
        <v>18.9</v>
      </c>
      <c r="O20" s="58">
        <f t="shared" si="2"/>
        <v>0</v>
      </c>
      <c r="P20" s="62"/>
      <c r="Q20" s="62">
        <v>1</v>
      </c>
      <c r="R20" s="62">
        <v>1</v>
      </c>
      <c r="S20" s="25"/>
    </row>
    <row r="21" spans="1:19" ht="18" customHeight="1">
      <c r="A21" s="36" t="s">
        <v>63</v>
      </c>
      <c r="B21" s="37">
        <v>1080000000</v>
      </c>
      <c r="C21" s="57">
        <v>700</v>
      </c>
      <c r="D21" s="62"/>
      <c r="E21" s="62">
        <f t="shared" si="6"/>
        <v>700</v>
      </c>
      <c r="F21" s="62">
        <f>75+34+90+90</f>
        <v>289</v>
      </c>
      <c r="G21" s="62">
        <v>229</v>
      </c>
      <c r="H21" s="62">
        <f t="shared" si="9"/>
        <v>289.6</v>
      </c>
      <c r="I21" s="58">
        <f t="shared" si="4"/>
        <v>0.41371428571428576</v>
      </c>
      <c r="J21" s="58">
        <f t="shared" si="5"/>
        <v>1.002076124567474</v>
      </c>
      <c r="K21" s="62">
        <v>311.4</v>
      </c>
      <c r="L21" s="58">
        <f t="shared" si="1"/>
        <v>0.9299935773924215</v>
      </c>
      <c r="M21" s="62">
        <v>60.6</v>
      </c>
      <c r="N21" s="62">
        <v>65.4</v>
      </c>
      <c r="O21" s="58">
        <f t="shared" si="2"/>
        <v>0.926605504587156</v>
      </c>
      <c r="P21" s="62"/>
      <c r="Q21" s="62"/>
      <c r="R21" s="62"/>
      <c r="S21" s="25"/>
    </row>
    <row r="22" spans="1:19" ht="2.25" customHeight="1" hidden="1">
      <c r="A22" s="36" t="s">
        <v>55</v>
      </c>
      <c r="B22" s="37">
        <v>1090000000</v>
      </c>
      <c r="C22" s="57"/>
      <c r="D22" s="62"/>
      <c r="E22" s="62">
        <f t="shared" si="6"/>
        <v>0</v>
      </c>
      <c r="F22" s="62"/>
      <c r="G22" s="62"/>
      <c r="H22" s="62">
        <f t="shared" si="9"/>
        <v>0</v>
      </c>
      <c r="I22" s="58">
        <f t="shared" si="4"/>
        <v>0</v>
      </c>
      <c r="J22" s="58">
        <f t="shared" si="5"/>
        <v>0</v>
      </c>
      <c r="K22" s="62"/>
      <c r="L22" s="58">
        <f t="shared" si="1"/>
        <v>0</v>
      </c>
      <c r="M22" s="62"/>
      <c r="N22" s="62"/>
      <c r="O22" s="58">
        <f t="shared" si="2"/>
        <v>0</v>
      </c>
      <c r="P22" s="62"/>
      <c r="Q22" s="62"/>
      <c r="R22" s="62"/>
      <c r="S22" s="25"/>
    </row>
    <row r="23" spans="1:19" ht="18.75">
      <c r="A23" s="41" t="s">
        <v>22</v>
      </c>
      <c r="B23" s="42"/>
      <c r="C23" s="55">
        <f aca="true" t="shared" si="10" ref="C23:H23">C24+C31+C32+C36+C39+C40</f>
        <v>33822</v>
      </c>
      <c r="D23" s="55">
        <f t="shared" si="10"/>
        <v>2794.9499999999994</v>
      </c>
      <c r="E23" s="55">
        <f t="shared" si="10"/>
        <v>36616.94999999999</v>
      </c>
      <c r="F23" s="55">
        <f t="shared" si="10"/>
        <v>7948.7</v>
      </c>
      <c r="G23" s="133">
        <f>G24+G31+G32+G36+G39+G40</f>
        <v>5415.799999999999</v>
      </c>
      <c r="H23" s="55">
        <f t="shared" si="10"/>
        <v>6583.799999999999</v>
      </c>
      <c r="I23" s="56">
        <f t="shared" si="4"/>
        <v>0.17980197695329625</v>
      </c>
      <c r="J23" s="56">
        <f t="shared" si="5"/>
        <v>0.8282863864531306</v>
      </c>
      <c r="K23" s="133">
        <f>K24+K31+K32+K36+K39+K40</f>
        <v>5104.199999999999</v>
      </c>
      <c r="L23" s="56">
        <f t="shared" si="1"/>
        <v>1.289878923239685</v>
      </c>
      <c r="M23" s="133">
        <f>M24+M31+M32+M36+M39+M40</f>
        <v>1168</v>
      </c>
      <c r="N23" s="133">
        <f>N24+N31+N32+N36+N39+N40</f>
        <v>573.0999999999999</v>
      </c>
      <c r="O23" s="56">
        <f t="shared" si="2"/>
        <v>2.038038736695167</v>
      </c>
      <c r="P23" s="55">
        <f>P24+P31+P32+P36+P39+P40</f>
        <v>745.1</v>
      </c>
      <c r="Q23" s="55">
        <f>Q24+Q31+Q32+Q36+Q39+Q40</f>
        <v>418.3</v>
      </c>
      <c r="R23" s="55">
        <f>R24+R31+R32+R36+R39+R40</f>
        <v>338.1</v>
      </c>
      <c r="S23" s="25"/>
    </row>
    <row r="24" spans="1:19" ht="18.75">
      <c r="A24" s="43" t="s">
        <v>60</v>
      </c>
      <c r="B24" s="37">
        <v>1110000000</v>
      </c>
      <c r="C24" s="57">
        <f aca="true" t="shared" si="11" ref="C24:H24">SUM(C25:C30)</f>
        <v>2417.3999999999996</v>
      </c>
      <c r="D24" s="57">
        <f t="shared" si="11"/>
        <v>446.9</v>
      </c>
      <c r="E24" s="57">
        <f t="shared" si="11"/>
        <v>2864.2999999999997</v>
      </c>
      <c r="F24" s="57">
        <f t="shared" si="11"/>
        <v>2087.3</v>
      </c>
      <c r="G24" s="134">
        <f>SUM(G25:G30)</f>
        <v>1123.4</v>
      </c>
      <c r="H24" s="57">
        <f t="shared" si="11"/>
        <v>1456.6000000000001</v>
      </c>
      <c r="I24" s="58">
        <f t="shared" si="4"/>
        <v>0.5085361170268479</v>
      </c>
      <c r="J24" s="58">
        <f t="shared" si="5"/>
        <v>0.6978393139462463</v>
      </c>
      <c r="K24" s="134">
        <f>SUM(K25:K30)</f>
        <v>1318.8999999999999</v>
      </c>
      <c r="L24" s="58">
        <f t="shared" si="1"/>
        <v>1.1044051861399653</v>
      </c>
      <c r="M24" s="134">
        <f>SUM(M25:M30)</f>
        <v>333.2</v>
      </c>
      <c r="N24" s="134">
        <f>SUM(N25:N30)</f>
        <v>261.8</v>
      </c>
      <c r="O24" s="58">
        <f t="shared" si="2"/>
        <v>1.2727272727272727</v>
      </c>
      <c r="P24" s="57">
        <f>SUM(P25:P30)</f>
        <v>745.1</v>
      </c>
      <c r="Q24" s="57">
        <f>SUM(Q25:Q30)</f>
        <v>418.3</v>
      </c>
      <c r="R24" s="57">
        <f>SUM(R25:R30)</f>
        <v>338.1</v>
      </c>
      <c r="S24" s="25"/>
    </row>
    <row r="25" spans="1:19" ht="18.75" hidden="1">
      <c r="A25" s="8" t="s">
        <v>20</v>
      </c>
      <c r="B25" s="8">
        <v>1110105005</v>
      </c>
      <c r="C25" s="59"/>
      <c r="D25" s="60"/>
      <c r="E25" s="60">
        <f aca="true" t="shared" si="12" ref="E25:E31">C25+D25</f>
        <v>0</v>
      </c>
      <c r="F25" s="60"/>
      <c r="G25" s="135"/>
      <c r="H25" s="60">
        <f aca="true" t="shared" si="13" ref="H25:H31">G25+M25</f>
        <v>0</v>
      </c>
      <c r="I25" s="61">
        <f t="shared" si="4"/>
        <v>0</v>
      </c>
      <c r="J25" s="61">
        <f t="shared" si="5"/>
        <v>0</v>
      </c>
      <c r="K25" s="135"/>
      <c r="L25" s="61">
        <f t="shared" si="1"/>
        <v>0</v>
      </c>
      <c r="M25" s="135"/>
      <c r="N25" s="135"/>
      <c r="O25" s="61">
        <f t="shared" si="2"/>
        <v>0</v>
      </c>
      <c r="P25" s="60"/>
      <c r="Q25" s="60"/>
      <c r="R25" s="60"/>
      <c r="S25" s="25"/>
    </row>
    <row r="26" spans="1:19" ht="18.75">
      <c r="A26" s="8" t="s">
        <v>57</v>
      </c>
      <c r="B26" s="8">
        <v>1110501300</v>
      </c>
      <c r="C26" s="59">
        <v>1725</v>
      </c>
      <c r="D26" s="60"/>
      <c r="E26" s="60">
        <f t="shared" si="12"/>
        <v>1725</v>
      </c>
      <c r="F26" s="60">
        <f>60+420+420</f>
        <v>900</v>
      </c>
      <c r="G26" s="135">
        <v>409.4</v>
      </c>
      <c r="H26" s="60">
        <f t="shared" si="13"/>
        <v>559</v>
      </c>
      <c r="I26" s="61">
        <f t="shared" si="4"/>
        <v>0.32405797101449274</v>
      </c>
      <c r="J26" s="61">
        <f t="shared" si="5"/>
        <v>0.6211111111111111</v>
      </c>
      <c r="K26" s="135">
        <v>823.9</v>
      </c>
      <c r="L26" s="61">
        <f t="shared" si="1"/>
        <v>0.6784803981065664</v>
      </c>
      <c r="M26" s="135">
        <v>149.6</v>
      </c>
      <c r="N26" s="135">
        <v>194.5</v>
      </c>
      <c r="O26" s="61">
        <f t="shared" si="2"/>
        <v>0.7691516709511568</v>
      </c>
      <c r="P26" s="60">
        <f>91.9+234.8</f>
        <v>326.70000000000005</v>
      </c>
      <c r="Q26" s="179">
        <f>190.5+165.8</f>
        <v>356.3</v>
      </c>
      <c r="R26" s="179">
        <f>116.7+172.1</f>
        <v>288.8</v>
      </c>
      <c r="S26" s="25"/>
    </row>
    <row r="27" spans="1:19" ht="18.75">
      <c r="A27" s="8" t="s">
        <v>58</v>
      </c>
      <c r="B27" s="8">
        <v>1110502505</v>
      </c>
      <c r="C27" s="59">
        <v>12.2</v>
      </c>
      <c r="D27" s="60"/>
      <c r="E27" s="60">
        <f t="shared" si="12"/>
        <v>12.2</v>
      </c>
      <c r="F27" s="60"/>
      <c r="G27" s="135"/>
      <c r="H27" s="60">
        <f t="shared" si="13"/>
        <v>7.4</v>
      </c>
      <c r="I27" s="61">
        <f t="shared" si="4"/>
        <v>0.6065573770491804</v>
      </c>
      <c r="J27" s="61">
        <f t="shared" si="5"/>
        <v>0</v>
      </c>
      <c r="K27" s="135">
        <v>0.6</v>
      </c>
      <c r="L27" s="61">
        <f t="shared" si="1"/>
        <v>12.333333333333334</v>
      </c>
      <c r="M27" s="135">
        <v>7.4</v>
      </c>
      <c r="N27" s="135"/>
      <c r="O27" s="61">
        <f t="shared" si="2"/>
        <v>0</v>
      </c>
      <c r="P27" s="60"/>
      <c r="Q27" s="60"/>
      <c r="R27" s="60"/>
      <c r="S27" s="25"/>
    </row>
    <row r="28" spans="1:19" ht="18.75">
      <c r="A28" s="176" t="s">
        <v>59</v>
      </c>
      <c r="B28" s="8">
        <v>1110503505</v>
      </c>
      <c r="C28" s="59">
        <v>670</v>
      </c>
      <c r="D28" s="60"/>
      <c r="E28" s="60">
        <f t="shared" si="12"/>
        <v>670</v>
      </c>
      <c r="F28" s="60">
        <f>250+140+365+165.3+267</f>
        <v>1187.3</v>
      </c>
      <c r="G28" s="135">
        <v>288.8</v>
      </c>
      <c r="H28" s="60">
        <f t="shared" si="13"/>
        <v>355</v>
      </c>
      <c r="I28" s="61">
        <f t="shared" si="4"/>
        <v>0.5298507462686567</v>
      </c>
      <c r="J28" s="61">
        <f t="shared" si="5"/>
        <v>0.29899772593278867</v>
      </c>
      <c r="K28" s="135">
        <v>463.6</v>
      </c>
      <c r="L28" s="61">
        <f t="shared" si="1"/>
        <v>0.765746333045729</v>
      </c>
      <c r="M28" s="135">
        <v>66.2</v>
      </c>
      <c r="N28" s="135">
        <v>56.4</v>
      </c>
      <c r="O28" s="61">
        <f t="shared" si="2"/>
        <v>1.173758865248227</v>
      </c>
      <c r="P28" s="60">
        <v>418.4</v>
      </c>
      <c r="Q28" s="179">
        <v>62</v>
      </c>
      <c r="R28" s="179">
        <v>49.3</v>
      </c>
      <c r="S28" s="25"/>
    </row>
    <row r="29" spans="1:19" ht="18.75">
      <c r="A29" s="8" t="s">
        <v>112</v>
      </c>
      <c r="B29" s="175">
        <v>1110507505</v>
      </c>
      <c r="C29" s="59">
        <v>10.2</v>
      </c>
      <c r="D29" s="60">
        <f>446.9</f>
        <v>446.9</v>
      </c>
      <c r="E29" s="60">
        <f t="shared" si="12"/>
        <v>457.09999999999997</v>
      </c>
      <c r="F29" s="60"/>
      <c r="G29" s="135">
        <v>423</v>
      </c>
      <c r="H29" s="60">
        <f t="shared" si="13"/>
        <v>533</v>
      </c>
      <c r="I29" s="61">
        <f t="shared" si="4"/>
        <v>1.1660468168890834</v>
      </c>
      <c r="J29" s="61"/>
      <c r="K29" s="135">
        <v>22.3</v>
      </c>
      <c r="L29" s="61">
        <f t="shared" si="1"/>
        <v>23.90134529147982</v>
      </c>
      <c r="M29" s="135">
        <v>110</v>
      </c>
      <c r="N29" s="135">
        <v>3</v>
      </c>
      <c r="O29" s="61">
        <f t="shared" si="2"/>
        <v>36.666666666666664</v>
      </c>
      <c r="P29" s="60"/>
      <c r="Q29" s="60"/>
      <c r="R29" s="60"/>
      <c r="S29" s="25"/>
    </row>
    <row r="30" spans="1:19" ht="18.75">
      <c r="A30" s="8" t="s">
        <v>23</v>
      </c>
      <c r="B30" s="8">
        <v>1110904505</v>
      </c>
      <c r="C30" s="59"/>
      <c r="D30" s="60"/>
      <c r="E30" s="60">
        <f t="shared" si="12"/>
        <v>0</v>
      </c>
      <c r="F30" s="60"/>
      <c r="G30" s="135">
        <v>2.2</v>
      </c>
      <c r="H30" s="60">
        <f t="shared" si="13"/>
        <v>2.2</v>
      </c>
      <c r="I30" s="61">
        <f t="shared" si="4"/>
        <v>0</v>
      </c>
      <c r="J30" s="61">
        <f t="shared" si="5"/>
        <v>0</v>
      </c>
      <c r="K30" s="135">
        <v>8.5</v>
      </c>
      <c r="L30" s="61">
        <f t="shared" si="1"/>
        <v>0.25882352941176473</v>
      </c>
      <c r="M30" s="135"/>
      <c r="N30" s="135">
        <v>7.9</v>
      </c>
      <c r="O30" s="61">
        <f t="shared" si="2"/>
        <v>0</v>
      </c>
      <c r="P30" s="60"/>
      <c r="Q30" s="60"/>
      <c r="R30" s="60"/>
      <c r="S30" s="25"/>
    </row>
    <row r="31" spans="1:19" ht="18.75">
      <c r="A31" s="43" t="s">
        <v>64</v>
      </c>
      <c r="B31" s="37">
        <v>1120100000</v>
      </c>
      <c r="C31" s="57">
        <v>10.8</v>
      </c>
      <c r="D31" s="62"/>
      <c r="E31" s="62">
        <f t="shared" si="12"/>
        <v>10.8</v>
      </c>
      <c r="F31" s="62">
        <f>30+30+15</f>
        <v>75</v>
      </c>
      <c r="G31" s="136">
        <v>22.2</v>
      </c>
      <c r="H31" s="62">
        <f t="shared" si="13"/>
        <v>22.2</v>
      </c>
      <c r="I31" s="58">
        <f t="shared" si="4"/>
        <v>2.0555555555555554</v>
      </c>
      <c r="J31" s="58">
        <f t="shared" si="5"/>
        <v>0.296</v>
      </c>
      <c r="K31" s="136">
        <v>22.1</v>
      </c>
      <c r="L31" s="58">
        <f t="shared" si="1"/>
        <v>1.004524886877828</v>
      </c>
      <c r="M31" s="136"/>
      <c r="N31" s="136"/>
      <c r="O31" s="58">
        <f t="shared" si="2"/>
        <v>0</v>
      </c>
      <c r="P31" s="62"/>
      <c r="Q31" s="62"/>
      <c r="R31" s="62"/>
      <c r="S31" s="25"/>
    </row>
    <row r="32" spans="1:19" ht="18.75">
      <c r="A32" s="43" t="s">
        <v>65</v>
      </c>
      <c r="B32" s="37">
        <v>1130000000</v>
      </c>
      <c r="C32" s="57">
        <f aca="true" t="shared" si="14" ref="C32:H32">SUM(C33:C35)</f>
        <v>8850</v>
      </c>
      <c r="D32" s="57">
        <f t="shared" si="14"/>
        <v>75.31</v>
      </c>
      <c r="E32" s="57">
        <f t="shared" si="14"/>
        <v>8925.31</v>
      </c>
      <c r="F32" s="57">
        <f t="shared" si="14"/>
        <v>5703.4</v>
      </c>
      <c r="G32" s="134">
        <f>SUM(G33:G35)</f>
        <v>2989.3999999999996</v>
      </c>
      <c r="H32" s="57">
        <f t="shared" si="14"/>
        <v>3493.3999999999996</v>
      </c>
      <c r="I32" s="58">
        <f t="shared" si="4"/>
        <v>0.3914037719698251</v>
      </c>
      <c r="J32" s="58">
        <f t="shared" si="5"/>
        <v>0.6125118350457621</v>
      </c>
      <c r="K32" s="134">
        <f>SUM(K33:K35)</f>
        <v>3469.7</v>
      </c>
      <c r="L32" s="58">
        <f t="shared" si="1"/>
        <v>1.0068305617200335</v>
      </c>
      <c r="M32" s="134">
        <f>SUM(M33:M35)</f>
        <v>503.99999999999994</v>
      </c>
      <c r="N32" s="134">
        <f>SUM(N33:N35)</f>
        <v>298.79999999999995</v>
      </c>
      <c r="O32" s="58">
        <f t="shared" si="2"/>
        <v>1.6867469879518073</v>
      </c>
      <c r="P32" s="57">
        <f>SUM(P33:P35)</f>
        <v>0</v>
      </c>
      <c r="Q32" s="57">
        <f>SUM(Q33:Q35)</f>
        <v>0</v>
      </c>
      <c r="R32" s="57">
        <f>SUM(R33:R35)</f>
        <v>0</v>
      </c>
      <c r="S32" s="25"/>
    </row>
    <row r="33" spans="1:19" ht="18.75">
      <c r="A33" s="44" t="s">
        <v>34</v>
      </c>
      <c r="B33" s="44">
        <v>1130199505</v>
      </c>
      <c r="C33" s="59">
        <v>8390</v>
      </c>
      <c r="D33" s="60">
        <f>75.31</f>
        <v>75.31</v>
      </c>
      <c r="E33" s="60">
        <f>C33+D33</f>
        <v>8465.31</v>
      </c>
      <c r="F33" s="60">
        <f>1963.4+1945+1295</f>
        <v>5203.4</v>
      </c>
      <c r="G33" s="135">
        <v>2753.1</v>
      </c>
      <c r="H33" s="60">
        <f>G33+M33</f>
        <v>3185.2999999999997</v>
      </c>
      <c r="I33" s="61">
        <f t="shared" si="4"/>
        <v>0.37627682860993866</v>
      </c>
      <c r="J33" s="61">
        <f t="shared" si="5"/>
        <v>0.6121574355229273</v>
      </c>
      <c r="K33" s="135">
        <v>2101</v>
      </c>
      <c r="L33" s="61">
        <f t="shared" si="1"/>
        <v>1.5160875773441218</v>
      </c>
      <c r="M33" s="135">
        <v>432.2</v>
      </c>
      <c r="N33" s="135">
        <v>137.1</v>
      </c>
      <c r="O33" s="61">
        <f t="shared" si="2"/>
        <v>3.152443471918308</v>
      </c>
      <c r="P33" s="60"/>
      <c r="Q33" s="60"/>
      <c r="R33" s="60"/>
      <c r="S33" s="25"/>
    </row>
    <row r="34" spans="1:19" ht="18.75">
      <c r="A34" s="44" t="s">
        <v>35</v>
      </c>
      <c r="B34" s="44">
        <v>1130206505</v>
      </c>
      <c r="C34" s="59">
        <v>460</v>
      </c>
      <c r="D34" s="60"/>
      <c r="E34" s="60">
        <f>C34+D34</f>
        <v>460</v>
      </c>
      <c r="F34" s="60">
        <f>240+165+95</f>
        <v>500</v>
      </c>
      <c r="G34" s="135">
        <v>209.2</v>
      </c>
      <c r="H34" s="60">
        <f>G34+M34</f>
        <v>278.29999999999995</v>
      </c>
      <c r="I34" s="61">
        <f t="shared" si="4"/>
        <v>0.6049999999999999</v>
      </c>
      <c r="J34" s="61">
        <f t="shared" si="5"/>
        <v>0.5565999999999999</v>
      </c>
      <c r="K34" s="135">
        <v>141.2</v>
      </c>
      <c r="L34" s="61">
        <f t="shared" si="1"/>
        <v>1.9709631728045325</v>
      </c>
      <c r="M34" s="135">
        <v>69.1</v>
      </c>
      <c r="N34" s="135">
        <v>16.2</v>
      </c>
      <c r="O34" s="61">
        <f t="shared" si="2"/>
        <v>4.265432098765432</v>
      </c>
      <c r="P34" s="60"/>
      <c r="Q34" s="60"/>
      <c r="R34" s="60"/>
      <c r="S34" s="25"/>
    </row>
    <row r="35" spans="1:19" ht="18.75">
      <c r="A35" s="44" t="s">
        <v>61</v>
      </c>
      <c r="B35" s="44">
        <v>1130299505</v>
      </c>
      <c r="C35" s="59"/>
      <c r="D35" s="60"/>
      <c r="E35" s="60">
        <f>C35+D35</f>
        <v>0</v>
      </c>
      <c r="F35" s="60"/>
      <c r="G35" s="135">
        <v>27.1</v>
      </c>
      <c r="H35" s="60">
        <f>G35+M35</f>
        <v>29.8</v>
      </c>
      <c r="I35" s="61">
        <f t="shared" si="4"/>
        <v>0</v>
      </c>
      <c r="J35" s="61">
        <f t="shared" si="5"/>
        <v>0</v>
      </c>
      <c r="K35" s="135">
        <v>1227.5</v>
      </c>
      <c r="L35" s="61">
        <f t="shared" si="1"/>
        <v>0.024276985743380854</v>
      </c>
      <c r="M35" s="135">
        <v>2.7</v>
      </c>
      <c r="N35" s="135">
        <v>145.5</v>
      </c>
      <c r="O35" s="61">
        <f t="shared" si="2"/>
        <v>0.018556701030927835</v>
      </c>
      <c r="P35" s="60"/>
      <c r="Q35" s="60"/>
      <c r="R35" s="60"/>
      <c r="S35" s="25"/>
    </row>
    <row r="36" spans="1:19" ht="18.75">
      <c r="A36" s="43" t="s">
        <v>66</v>
      </c>
      <c r="B36" s="37">
        <v>1140000000</v>
      </c>
      <c r="C36" s="57">
        <f aca="true" t="shared" si="15" ref="C36:H36">SUM(C37:C38)</f>
        <v>22543.8</v>
      </c>
      <c r="D36" s="57">
        <f t="shared" si="15"/>
        <v>1731.4399999999998</v>
      </c>
      <c r="E36" s="57">
        <f t="shared" si="15"/>
        <v>24275.239999999998</v>
      </c>
      <c r="F36" s="57">
        <f t="shared" si="15"/>
        <v>0</v>
      </c>
      <c r="G36" s="134">
        <f>G37+G38</f>
        <v>274.9</v>
      </c>
      <c r="H36" s="57">
        <f t="shared" si="15"/>
        <v>274.9</v>
      </c>
      <c r="I36" s="58">
        <f t="shared" si="4"/>
        <v>0.01132429586689977</v>
      </c>
      <c r="J36" s="58">
        <f t="shared" si="5"/>
        <v>0</v>
      </c>
      <c r="K36" s="134">
        <f>K37+K38</f>
        <v>4.7</v>
      </c>
      <c r="L36" s="58">
        <f t="shared" si="1"/>
        <v>58.48936170212765</v>
      </c>
      <c r="M36" s="134">
        <f>M37+M38</f>
        <v>0</v>
      </c>
      <c r="N36" s="134">
        <f>N37+N38</f>
        <v>0</v>
      </c>
      <c r="O36" s="58">
        <f>IF(N36&gt;0,M36/N36,0)</f>
        <v>0</v>
      </c>
      <c r="P36" s="57">
        <f>SUM(P37:P38)</f>
        <v>0</v>
      </c>
      <c r="Q36" s="57">
        <f>SUM(Q37:Q38)</f>
        <v>0</v>
      </c>
      <c r="R36" s="57">
        <f>SUM(R37:R38)</f>
        <v>0</v>
      </c>
      <c r="S36" s="25"/>
    </row>
    <row r="37" spans="1:19" ht="18.75">
      <c r="A37" s="8" t="s">
        <v>31</v>
      </c>
      <c r="B37" s="8">
        <v>1140205305</v>
      </c>
      <c r="C37" s="59">
        <v>22543.8</v>
      </c>
      <c r="D37" s="60">
        <f>1627.84</f>
        <v>1627.84</v>
      </c>
      <c r="E37" s="60">
        <f aca="true" t="shared" si="16" ref="E37:E43">C37+D37</f>
        <v>24171.64</v>
      </c>
      <c r="F37" s="60"/>
      <c r="G37" s="135">
        <v>171.3</v>
      </c>
      <c r="H37" s="60">
        <f>G37+M37</f>
        <v>171.3</v>
      </c>
      <c r="I37" s="61">
        <f t="shared" si="4"/>
        <v>0.007086817443913612</v>
      </c>
      <c r="J37" s="61">
        <f t="shared" si="5"/>
        <v>0</v>
      </c>
      <c r="K37" s="135"/>
      <c r="L37" s="61">
        <f t="shared" si="1"/>
        <v>0</v>
      </c>
      <c r="M37" s="135"/>
      <c r="N37" s="135"/>
      <c r="O37" s="61">
        <f>IF(N37&gt;0,M37/N37,0)</f>
        <v>0</v>
      </c>
      <c r="P37" s="60"/>
      <c r="Q37" s="60"/>
      <c r="R37" s="60"/>
      <c r="S37" s="25"/>
    </row>
    <row r="38" spans="1:19" ht="18.75">
      <c r="A38" s="8" t="s">
        <v>32</v>
      </c>
      <c r="B38" s="8">
        <v>1140600000</v>
      </c>
      <c r="C38" s="59"/>
      <c r="D38" s="60">
        <f>103.6</f>
        <v>103.6</v>
      </c>
      <c r="E38" s="60">
        <f t="shared" si="16"/>
        <v>103.6</v>
      </c>
      <c r="F38" s="60"/>
      <c r="G38" s="135">
        <v>103.6</v>
      </c>
      <c r="H38" s="60">
        <f>G38+M38</f>
        <v>103.6</v>
      </c>
      <c r="I38" s="61">
        <f t="shared" si="4"/>
        <v>1</v>
      </c>
      <c r="J38" s="61">
        <f t="shared" si="5"/>
        <v>0</v>
      </c>
      <c r="K38" s="135">
        <v>4.7</v>
      </c>
      <c r="L38" s="61">
        <f t="shared" si="1"/>
        <v>22.04255319148936</v>
      </c>
      <c r="M38" s="135"/>
      <c r="N38" s="135"/>
      <c r="O38" s="61">
        <f t="shared" si="2"/>
        <v>0</v>
      </c>
      <c r="P38" s="60"/>
      <c r="Q38" s="60"/>
      <c r="R38" s="60"/>
      <c r="S38" s="25"/>
    </row>
    <row r="39" spans="1:19" ht="18.75">
      <c r="A39" s="43" t="s">
        <v>67</v>
      </c>
      <c r="B39" s="37">
        <v>1160000000</v>
      </c>
      <c r="C39" s="57"/>
      <c r="D39" s="62">
        <f>158.2</f>
        <v>158.2</v>
      </c>
      <c r="E39" s="62">
        <f t="shared" si="16"/>
        <v>158.2</v>
      </c>
      <c r="F39" s="62">
        <f>38+45</f>
        <v>83</v>
      </c>
      <c r="G39" s="136">
        <v>525.7</v>
      </c>
      <c r="H39" s="62">
        <f>G39+M39</f>
        <v>855.8000000000001</v>
      </c>
      <c r="I39" s="58">
        <f t="shared" si="4"/>
        <v>5.409608091024021</v>
      </c>
      <c r="J39" s="58">
        <f t="shared" si="5"/>
        <v>10.310843373493977</v>
      </c>
      <c r="K39" s="136">
        <v>288.4</v>
      </c>
      <c r="L39" s="58">
        <f t="shared" si="1"/>
        <v>2.96740638002774</v>
      </c>
      <c r="M39" s="136">
        <v>330.1</v>
      </c>
      <c r="N39" s="136">
        <v>17.1</v>
      </c>
      <c r="O39" s="58">
        <f t="shared" si="2"/>
        <v>19.30409356725146</v>
      </c>
      <c r="P39" s="62"/>
      <c r="Q39" s="62"/>
      <c r="R39" s="62"/>
      <c r="S39" s="25"/>
    </row>
    <row r="40" spans="1:19" ht="18.75">
      <c r="A40" s="43" t="s">
        <v>68</v>
      </c>
      <c r="B40" s="37">
        <v>1170000000</v>
      </c>
      <c r="C40" s="57">
        <f>SUM(C41:C43)</f>
        <v>0</v>
      </c>
      <c r="D40" s="57">
        <f>SUM(D41:D43)</f>
        <v>383.1</v>
      </c>
      <c r="E40" s="62">
        <f t="shared" si="16"/>
        <v>383.1</v>
      </c>
      <c r="F40" s="57">
        <f>SUM(F41:F43)</f>
        <v>0</v>
      </c>
      <c r="G40" s="57">
        <f>SUM(G41:G43)</f>
        <v>480.20000000000005</v>
      </c>
      <c r="H40" s="57">
        <f>SUM(H41:H43)</f>
        <v>480.90000000000003</v>
      </c>
      <c r="I40" s="58">
        <f t="shared" si="4"/>
        <v>1.255285826155051</v>
      </c>
      <c r="J40" s="58">
        <f t="shared" si="5"/>
        <v>0</v>
      </c>
      <c r="K40" s="57">
        <f>SUM(K41:K42)</f>
        <v>0.4</v>
      </c>
      <c r="L40" s="58">
        <f t="shared" si="1"/>
        <v>1202.25</v>
      </c>
      <c r="M40" s="57">
        <f>SUM(M41:M43)</f>
        <v>0.7</v>
      </c>
      <c r="N40" s="57">
        <f>SUM(N41:N42)</f>
        <v>-4.6</v>
      </c>
      <c r="O40" s="58">
        <f t="shared" si="2"/>
        <v>0</v>
      </c>
      <c r="P40" s="57">
        <f>SUM(P41:P42)</f>
        <v>0</v>
      </c>
      <c r="Q40" s="57">
        <f>SUM(Q41:Q42)</f>
        <v>0</v>
      </c>
      <c r="R40" s="57">
        <f>SUM(R41:R42)</f>
        <v>0</v>
      </c>
      <c r="S40" s="25"/>
    </row>
    <row r="41" spans="1:19" ht="18.75">
      <c r="A41" s="8" t="s">
        <v>8</v>
      </c>
      <c r="B41" s="8">
        <v>1170105005</v>
      </c>
      <c r="C41" s="59"/>
      <c r="D41" s="60"/>
      <c r="E41" s="60">
        <f t="shared" si="16"/>
        <v>0</v>
      </c>
      <c r="F41" s="60"/>
      <c r="G41" s="135">
        <v>0.1</v>
      </c>
      <c r="H41" s="60">
        <f>G41+M41</f>
        <v>0.1</v>
      </c>
      <c r="I41" s="61">
        <f t="shared" si="4"/>
        <v>0</v>
      </c>
      <c r="J41" s="61">
        <f t="shared" si="5"/>
        <v>0</v>
      </c>
      <c r="K41" s="135">
        <v>0.4</v>
      </c>
      <c r="L41" s="61">
        <f t="shared" si="1"/>
        <v>0.25</v>
      </c>
      <c r="M41" s="135"/>
      <c r="N41" s="135">
        <v>-4.6</v>
      </c>
      <c r="O41" s="61">
        <f t="shared" si="2"/>
        <v>0</v>
      </c>
      <c r="P41" s="60"/>
      <c r="Q41" s="60"/>
      <c r="R41" s="60"/>
      <c r="S41" s="25"/>
    </row>
    <row r="42" spans="1:19" ht="18.75">
      <c r="A42" s="8" t="s">
        <v>14</v>
      </c>
      <c r="B42" s="8">
        <v>1170505005</v>
      </c>
      <c r="C42" s="59"/>
      <c r="D42" s="60"/>
      <c r="E42" s="60">
        <f t="shared" si="16"/>
        <v>0</v>
      </c>
      <c r="F42" s="60"/>
      <c r="G42" s="135"/>
      <c r="H42" s="60">
        <f>G42+M42</f>
        <v>0</v>
      </c>
      <c r="I42" s="61">
        <f t="shared" si="4"/>
        <v>0</v>
      </c>
      <c r="J42" s="61">
        <f t="shared" si="5"/>
        <v>0</v>
      </c>
      <c r="K42" s="135"/>
      <c r="L42" s="61">
        <f t="shared" si="1"/>
        <v>0</v>
      </c>
      <c r="M42" s="135"/>
      <c r="N42" s="135"/>
      <c r="O42" s="61">
        <f t="shared" si="2"/>
        <v>0</v>
      </c>
      <c r="P42" s="60"/>
      <c r="Q42" s="60"/>
      <c r="R42" s="60"/>
      <c r="S42" s="25"/>
    </row>
    <row r="43" spans="1:19" ht="18.75">
      <c r="A43" s="8" t="s">
        <v>118</v>
      </c>
      <c r="B43" s="8">
        <v>1171503005</v>
      </c>
      <c r="C43" s="59"/>
      <c r="D43" s="60">
        <v>383.1</v>
      </c>
      <c r="E43" s="60">
        <f t="shared" si="16"/>
        <v>383.1</v>
      </c>
      <c r="F43" s="60"/>
      <c r="G43" s="135">
        <v>480.1</v>
      </c>
      <c r="H43" s="60">
        <f>G43+M43</f>
        <v>480.8</v>
      </c>
      <c r="I43" s="61">
        <f t="shared" si="4"/>
        <v>1.2550247977029496</v>
      </c>
      <c r="J43" s="61"/>
      <c r="K43" s="135"/>
      <c r="L43" s="61">
        <f t="shared" si="1"/>
        <v>0</v>
      </c>
      <c r="M43" s="135">
        <v>0.7</v>
      </c>
      <c r="N43" s="135"/>
      <c r="O43" s="61">
        <f t="shared" si="2"/>
        <v>0</v>
      </c>
      <c r="P43" s="60"/>
      <c r="Q43" s="60"/>
      <c r="R43" s="60"/>
      <c r="S43" s="25"/>
    </row>
    <row r="44" spans="1:20" ht="18.75" customHeight="1">
      <c r="A44" s="42" t="s">
        <v>88</v>
      </c>
      <c r="B44" s="42">
        <v>1000000000</v>
      </c>
      <c r="C44" s="55">
        <f aca="true" t="shared" si="17" ref="C44:H44">C4+C23</f>
        <v>88172.7</v>
      </c>
      <c r="D44" s="55">
        <f t="shared" si="17"/>
        <v>3724.9499999999994</v>
      </c>
      <c r="E44" s="55">
        <f t="shared" si="17"/>
        <v>91897.65</v>
      </c>
      <c r="F44" s="55">
        <f t="shared" si="17"/>
        <v>36236.4</v>
      </c>
      <c r="G44" s="55">
        <f>G4+G23</f>
        <v>36603</v>
      </c>
      <c r="H44" s="120">
        <f t="shared" si="17"/>
        <v>41023.3</v>
      </c>
      <c r="I44" s="56">
        <f t="shared" si="4"/>
        <v>0.44640205707110037</v>
      </c>
      <c r="J44" s="56">
        <f t="shared" si="5"/>
        <v>1.1321019748098597</v>
      </c>
      <c r="K44" s="55">
        <f>K4+K23</f>
        <v>32518.9</v>
      </c>
      <c r="L44" s="56">
        <f t="shared" si="1"/>
        <v>1.2615217611911842</v>
      </c>
      <c r="M44" s="55">
        <f>M4+M23</f>
        <v>4420.299999999999</v>
      </c>
      <c r="N44" s="55">
        <f>N4+N23</f>
        <v>4091.8000000000006</v>
      </c>
      <c r="O44" s="56">
        <f t="shared" si="2"/>
        <v>1.080282516252016</v>
      </c>
      <c r="P44" s="55">
        <f>P4+P23</f>
        <v>1137.1000000000001</v>
      </c>
      <c r="Q44" s="55">
        <f>Q4+Q23</f>
        <v>1983.6000000000001</v>
      </c>
      <c r="R44" s="55">
        <f>R4+R23</f>
        <v>1604.1</v>
      </c>
      <c r="S44" s="157"/>
      <c r="T44" s="156"/>
    </row>
    <row r="45" spans="1:19" ht="18.75" customHeight="1">
      <c r="A45" s="42" t="s">
        <v>90</v>
      </c>
      <c r="B45" s="42"/>
      <c r="C45" s="55">
        <f>C44-C9-8300</f>
        <v>71536.7</v>
      </c>
      <c r="D45" s="55">
        <f>D44-D9</f>
        <v>3724.9499999999994</v>
      </c>
      <c r="E45" s="55">
        <f>C45+D45</f>
        <v>75261.65</v>
      </c>
      <c r="F45" s="55">
        <f>F44-F9-1728.4-1750</f>
        <v>27993</v>
      </c>
      <c r="G45" s="55">
        <f>G44-G9-2714.4</f>
        <v>30634.6</v>
      </c>
      <c r="H45" s="120">
        <f>G45+M45</f>
        <v>33963.2</v>
      </c>
      <c r="I45" s="56">
        <f>IF(E45&gt;0,H45/E45,0)</f>
        <v>0.45126834184475095</v>
      </c>
      <c r="J45" s="56">
        <f>IF(F45&gt;0,H45/F45,0)</f>
        <v>1.213274747258243</v>
      </c>
      <c r="K45" s="55">
        <f>K44-K10-2066.1</f>
        <v>28855.700000000004</v>
      </c>
      <c r="L45" s="56">
        <f t="shared" si="1"/>
        <v>1.177001424328642</v>
      </c>
      <c r="M45" s="55">
        <f>M44-M9-424.1</f>
        <v>3328.599999999999</v>
      </c>
      <c r="N45" s="55">
        <f>N44-N10-128.3</f>
        <v>3717.5000000000005</v>
      </c>
      <c r="O45" s="56">
        <f t="shared" si="2"/>
        <v>0.8953866845998651</v>
      </c>
      <c r="P45" s="55"/>
      <c r="Q45" s="55"/>
      <c r="R45" s="55"/>
      <c r="S45" s="165"/>
    </row>
    <row r="46" spans="1:19" ht="18.75">
      <c r="A46" s="8" t="s">
        <v>36</v>
      </c>
      <c r="B46" s="8">
        <v>2000000000</v>
      </c>
      <c r="C46" s="59">
        <v>197304.432</v>
      </c>
      <c r="D46" s="128">
        <f>6286+31.3+2787.4</f>
        <v>9104.7</v>
      </c>
      <c r="E46" s="128">
        <f>C46+D46</f>
        <v>206409.132</v>
      </c>
      <c r="F46" s="60">
        <f>34850.65+571.1+470.1+38803.34</f>
        <v>74695.19</v>
      </c>
      <c r="G46" s="60">
        <v>84033.7</v>
      </c>
      <c r="H46" s="60">
        <f>G46+M46</f>
        <v>107066.2</v>
      </c>
      <c r="I46" s="61">
        <f t="shared" si="4"/>
        <v>0.5187086393057454</v>
      </c>
      <c r="J46" s="61">
        <f t="shared" si="5"/>
        <v>1.433374759472464</v>
      </c>
      <c r="K46" s="60">
        <v>106917.8</v>
      </c>
      <c r="L46" s="61">
        <f t="shared" si="1"/>
        <v>1.0013879821694798</v>
      </c>
      <c r="M46" s="60">
        <v>23032.5</v>
      </c>
      <c r="N46" s="60">
        <v>24827</v>
      </c>
      <c r="O46" s="61">
        <f t="shared" si="2"/>
        <v>0.9277198211624441</v>
      </c>
      <c r="P46" s="60"/>
      <c r="Q46" s="60"/>
      <c r="R46" s="60"/>
      <c r="S46" s="160"/>
    </row>
    <row r="47" spans="1:18" ht="18.75">
      <c r="A47" s="8" t="s">
        <v>116</v>
      </c>
      <c r="B47" s="45" t="s">
        <v>101</v>
      </c>
      <c r="C47" s="59"/>
      <c r="D47" s="60">
        <f>45+750</f>
        <v>795</v>
      </c>
      <c r="E47" s="60">
        <f>C47+D47</f>
        <v>795</v>
      </c>
      <c r="F47" s="60"/>
      <c r="G47" s="60">
        <v>45</v>
      </c>
      <c r="H47" s="60">
        <f>G47+M47</f>
        <v>45</v>
      </c>
      <c r="I47" s="61">
        <f t="shared" si="4"/>
        <v>0.05660377358490566</v>
      </c>
      <c r="J47" s="61">
        <f t="shared" si="5"/>
        <v>0</v>
      </c>
      <c r="K47" s="60">
        <v>125.1</v>
      </c>
      <c r="L47" s="61">
        <f t="shared" si="1"/>
        <v>0.3597122302158274</v>
      </c>
      <c r="M47" s="60"/>
      <c r="N47" s="60"/>
      <c r="O47" s="61">
        <f t="shared" si="2"/>
        <v>0</v>
      </c>
      <c r="P47" s="60"/>
      <c r="Q47" s="60"/>
      <c r="R47" s="60"/>
    </row>
    <row r="48" spans="1:18" ht="18.75">
      <c r="A48" s="8" t="s">
        <v>45</v>
      </c>
      <c r="B48" s="45" t="s">
        <v>37</v>
      </c>
      <c r="C48" s="59"/>
      <c r="D48" s="60">
        <f>0.4</f>
        <v>0.4</v>
      </c>
      <c r="E48" s="60">
        <f>C48+D48</f>
        <v>0.4</v>
      </c>
      <c r="F48" s="60"/>
      <c r="G48" s="60">
        <v>13.1</v>
      </c>
      <c r="H48" s="60">
        <f>G48+M48</f>
        <v>763.6</v>
      </c>
      <c r="I48" s="61">
        <f t="shared" si="4"/>
        <v>1909</v>
      </c>
      <c r="J48" s="61"/>
      <c r="K48" s="60"/>
      <c r="L48" s="61">
        <f t="shared" si="1"/>
        <v>0</v>
      </c>
      <c r="M48" s="60">
        <v>750.5</v>
      </c>
      <c r="N48" s="60"/>
      <c r="O48" s="61"/>
      <c r="P48" s="60"/>
      <c r="Q48" s="60"/>
      <c r="R48" s="60"/>
    </row>
    <row r="49" spans="1:18" ht="18.75">
      <c r="A49" s="8" t="s">
        <v>92</v>
      </c>
      <c r="B49" s="45" t="s">
        <v>108</v>
      </c>
      <c r="C49" s="59"/>
      <c r="D49" s="128"/>
      <c r="E49" s="128">
        <f>C49+D49</f>
        <v>0</v>
      </c>
      <c r="F49" s="60"/>
      <c r="G49" s="60"/>
      <c r="H49" s="60">
        <f>G49+M49</f>
        <v>-2.7</v>
      </c>
      <c r="I49" s="61">
        <f t="shared" si="4"/>
        <v>0</v>
      </c>
      <c r="J49" s="61"/>
      <c r="K49" s="60">
        <v>-120.6</v>
      </c>
      <c r="L49" s="61">
        <f t="shared" si="1"/>
        <v>0</v>
      </c>
      <c r="M49" s="60">
        <v>-2.7</v>
      </c>
      <c r="N49" s="60"/>
      <c r="O49" s="61">
        <f t="shared" si="2"/>
        <v>0</v>
      </c>
      <c r="P49" s="60"/>
      <c r="Q49" s="60"/>
      <c r="R49" s="60"/>
    </row>
    <row r="50" spans="1:19" ht="18.75">
      <c r="A50" s="42" t="s">
        <v>2</v>
      </c>
      <c r="B50" s="42">
        <v>0</v>
      </c>
      <c r="C50" s="161">
        <f>C44+C46+C47</f>
        <v>285477.132</v>
      </c>
      <c r="D50" s="161">
        <f>D44+D46+D47+D48+D49</f>
        <v>13625.05</v>
      </c>
      <c r="E50" s="161">
        <f>E44+E46+E47+E48+E49</f>
        <v>299102.18200000003</v>
      </c>
      <c r="F50" s="120">
        <f>F44+F46+F47</f>
        <v>110931.59</v>
      </c>
      <c r="G50" s="120">
        <f>G44+G46+G47+G48+G49</f>
        <v>120694.8</v>
      </c>
      <c r="H50" s="120">
        <f>H44+H46+H47+H49+H48</f>
        <v>148895.4</v>
      </c>
      <c r="I50" s="56">
        <f t="shared" si="4"/>
        <v>0.49780780268597297</v>
      </c>
      <c r="J50" s="56">
        <f t="shared" si="5"/>
        <v>1.3422272231020937</v>
      </c>
      <c r="K50" s="120">
        <f>K44+K46+K47+K49+K48</f>
        <v>139441.2</v>
      </c>
      <c r="L50" s="56">
        <f t="shared" si="1"/>
        <v>1.0678006213371656</v>
      </c>
      <c r="M50" s="120">
        <f>M44+M46+M47+M49+M48</f>
        <v>28200.6</v>
      </c>
      <c r="N50" s="120">
        <f>N44+N46+N47+N49+N48</f>
        <v>28918.8</v>
      </c>
      <c r="O50" s="56">
        <f t="shared" si="2"/>
        <v>0.9751649446035104</v>
      </c>
      <c r="P50" s="55">
        <f>P44+P46+P47</f>
        <v>1137.1000000000001</v>
      </c>
      <c r="Q50" s="55">
        <f>Q44+Q46+Q47</f>
        <v>1983.6000000000001</v>
      </c>
      <c r="R50" s="55">
        <f>R44+R46+R47</f>
        <v>1604.1</v>
      </c>
      <c r="S50" s="137"/>
    </row>
    <row r="51" spans="1:19" ht="19.5" customHeight="1">
      <c r="A51" s="3"/>
      <c r="B51" s="3"/>
      <c r="C51" s="3"/>
      <c r="S51" s="166"/>
    </row>
    <row r="52" spans="1:8" ht="20.25">
      <c r="A52" s="3"/>
      <c r="B52" s="3"/>
      <c r="C52" s="3"/>
      <c r="E52" s="137"/>
      <c r="G52" s="129"/>
      <c r="H52" s="137"/>
    </row>
    <row r="53" spans="1:3" ht="18">
      <c r="A53" s="181"/>
      <c r="B53" s="181"/>
      <c r="C53" s="3"/>
    </row>
    <row r="54" spans="1:8" ht="18">
      <c r="A54" s="181"/>
      <c r="B54" s="181"/>
      <c r="C54" s="3"/>
      <c r="H54" s="137"/>
    </row>
    <row r="55" spans="1:2" ht="18">
      <c r="A55" s="180"/>
      <c r="B55" s="180"/>
    </row>
    <row r="56" spans="1:2" ht="18">
      <c r="A56" s="180"/>
      <c r="B56" s="180"/>
    </row>
    <row r="57" spans="1:2" ht="18">
      <c r="A57" s="180"/>
      <c r="B57" s="180"/>
    </row>
    <row r="58" spans="1:2" ht="18">
      <c r="A58" s="180"/>
      <c r="B58" s="180"/>
    </row>
    <row r="59" spans="1:2" ht="18">
      <c r="A59" s="180"/>
      <c r="B59" s="180"/>
    </row>
    <row r="60" spans="1:2" ht="18">
      <c r="A60" s="180"/>
      <c r="B60" s="180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J2"/>
    <mergeCell ref="P2:R2"/>
    <mergeCell ref="K2:L2"/>
    <mergeCell ref="M2:M3"/>
    <mergeCell ref="N2:N3"/>
    <mergeCell ref="O2:O3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8" sqref="R28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3" width="12.25390625" style="0" customWidth="1"/>
    <col min="14" max="14" width="11.75390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5"/>
      <c r="B1" s="47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49"/>
      <c r="P1" s="25"/>
      <c r="Q1" s="25"/>
      <c r="R1" s="25"/>
    </row>
    <row r="2" spans="1:18" ht="15.75">
      <c r="A2" s="25"/>
      <c r="B2" s="190" t="s">
        <v>126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3.5" customHeight="1" thickBot="1">
      <c r="A3" s="185" t="s">
        <v>3</v>
      </c>
      <c r="B3" s="187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21" ht="111" customHeight="1" thickBot="1">
      <c r="A4" s="186"/>
      <c r="B4" s="188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  <c r="S4" s="1"/>
      <c r="T4" s="1"/>
      <c r="U4" s="2"/>
    </row>
    <row r="5" spans="1:21" ht="21.75" customHeight="1">
      <c r="A5" s="50" t="s">
        <v>21</v>
      </c>
      <c r="B5" s="51"/>
      <c r="C5" s="88">
        <f aca="true" t="shared" si="0" ref="C5:H5">C6+C15+C17+C22+C10</f>
        <v>8454.727</v>
      </c>
      <c r="D5" s="88">
        <f t="shared" si="0"/>
        <v>147.017</v>
      </c>
      <c r="E5" s="88">
        <f t="shared" si="0"/>
        <v>8601.744</v>
      </c>
      <c r="F5" s="88">
        <f t="shared" si="0"/>
        <v>0</v>
      </c>
      <c r="G5" s="88">
        <f t="shared" si="0"/>
        <v>3005.4</v>
      </c>
      <c r="H5" s="159">
        <f t="shared" si="0"/>
        <v>3618.2000000000003</v>
      </c>
      <c r="I5" s="89">
        <f>IF(E5&gt;0,H5/E5,0)</f>
        <v>0.4206356292398379</v>
      </c>
      <c r="J5" s="89">
        <f>IF(F5&gt;0,H5/F5,0)</f>
        <v>0</v>
      </c>
      <c r="K5" s="88">
        <f>K6+K15+K17+K22+K10</f>
        <v>3026.7000000000003</v>
      </c>
      <c r="L5" s="89">
        <f aca="true" t="shared" si="1" ref="L5:L47">IF(K5&gt;0,H5/K5,0)</f>
        <v>1.1954273631347672</v>
      </c>
      <c r="M5" s="88">
        <f>M6+M15+M17+M22+M10</f>
        <v>612.8</v>
      </c>
      <c r="N5" s="88">
        <f>N6+N15+N17+N22+N10</f>
        <v>499.9</v>
      </c>
      <c r="O5" s="89">
        <f aca="true" t="shared" si="2" ref="O5:O21">IF(N5&gt;0,M5/N5,0)</f>
        <v>1.2258451690338068</v>
      </c>
      <c r="P5" s="88">
        <f>P6+P15+P17+P22+P10</f>
        <v>469</v>
      </c>
      <c r="Q5" s="88">
        <f>Q6+Q15+Q17+Q22+Q10</f>
        <v>219.4</v>
      </c>
      <c r="R5" s="88">
        <f>R6+R15+R17+R22+R10</f>
        <v>214.7</v>
      </c>
      <c r="S5" s="4"/>
      <c r="T5" s="4"/>
      <c r="U5" s="4"/>
    </row>
    <row r="6" spans="1:22" ht="18" customHeight="1">
      <c r="A6" s="9" t="s">
        <v>62</v>
      </c>
      <c r="B6" s="52">
        <v>1010200001</v>
      </c>
      <c r="C6" s="71">
        <f aca="true" t="shared" si="3" ref="C6:H6">C7+C8+C9</f>
        <v>5122</v>
      </c>
      <c r="D6" s="71">
        <f t="shared" si="3"/>
        <v>0</v>
      </c>
      <c r="E6" s="71">
        <f t="shared" si="3"/>
        <v>5122</v>
      </c>
      <c r="F6" s="71">
        <f t="shared" si="3"/>
        <v>0</v>
      </c>
      <c r="G6" s="71">
        <f t="shared" si="3"/>
        <v>2108.5</v>
      </c>
      <c r="H6" s="71">
        <f t="shared" si="3"/>
        <v>2519.7000000000003</v>
      </c>
      <c r="I6" s="86">
        <f aca="true" t="shared" si="4" ref="I6:I47">IF(E6&gt;0,H6/E6,0)</f>
        <v>0.49193674345958616</v>
      </c>
      <c r="J6" s="86">
        <f>IF(F6&gt;0,H6/F6,0)</f>
        <v>0</v>
      </c>
      <c r="K6" s="71">
        <f>K7+K8+K9</f>
        <v>2236.3</v>
      </c>
      <c r="L6" s="86">
        <f t="shared" si="1"/>
        <v>1.1267271832938337</v>
      </c>
      <c r="M6" s="71">
        <f>M7+M8+M9</f>
        <v>411.2</v>
      </c>
      <c r="N6" s="71">
        <f>N7+N8+N9</f>
        <v>391.6</v>
      </c>
      <c r="O6" s="86">
        <f t="shared" si="2"/>
        <v>1.0500510725229826</v>
      </c>
      <c r="P6" s="71">
        <f>P7+P8+P9</f>
        <v>7.5</v>
      </c>
      <c r="Q6" s="71">
        <f>Q7+Q8+Q9</f>
        <v>2.3000000000000003</v>
      </c>
      <c r="R6" s="71">
        <f>R7+R8+R9</f>
        <v>2.2</v>
      </c>
      <c r="V6" s="164"/>
    </row>
    <row r="7" spans="1:22" ht="18">
      <c r="A7" s="10" t="s">
        <v>43</v>
      </c>
      <c r="B7" s="13">
        <v>1010201001</v>
      </c>
      <c r="C7" s="70">
        <v>5083</v>
      </c>
      <c r="D7" s="67"/>
      <c r="E7" s="70">
        <f>C7+D7</f>
        <v>5083</v>
      </c>
      <c r="F7" s="70"/>
      <c r="G7" s="67">
        <v>2084.9</v>
      </c>
      <c r="H7" s="67">
        <f>G7+M7</f>
        <v>2495.7000000000003</v>
      </c>
      <c r="I7" s="76">
        <f t="shared" si="4"/>
        <v>0.49098957308675983</v>
      </c>
      <c r="J7" s="76">
        <f aca="true" t="shared" si="5" ref="J7:J47">IF(F7&gt;0,H7/F7,0)</f>
        <v>0</v>
      </c>
      <c r="K7" s="67">
        <v>2216.1</v>
      </c>
      <c r="L7" s="76">
        <f t="shared" si="1"/>
        <v>1.1261675917151754</v>
      </c>
      <c r="M7" s="67">
        <v>410.8</v>
      </c>
      <c r="N7" s="67">
        <v>391.6</v>
      </c>
      <c r="O7" s="76">
        <f t="shared" si="2"/>
        <v>1.04902962206333</v>
      </c>
      <c r="P7" s="70"/>
      <c r="Q7" s="70">
        <v>0.1</v>
      </c>
      <c r="R7" s="70">
        <v>0.1</v>
      </c>
      <c r="V7" s="164"/>
    </row>
    <row r="8" spans="1:22" ht="18">
      <c r="A8" s="10" t="s">
        <v>42</v>
      </c>
      <c r="B8" s="13">
        <v>1010202001</v>
      </c>
      <c r="C8" s="70">
        <v>18</v>
      </c>
      <c r="D8" s="67"/>
      <c r="E8" s="70">
        <f>C8+D8</f>
        <v>18</v>
      </c>
      <c r="F8" s="70"/>
      <c r="G8" s="70">
        <v>10.1</v>
      </c>
      <c r="H8" s="67">
        <f>G8+M8</f>
        <v>10.1</v>
      </c>
      <c r="I8" s="76">
        <f t="shared" si="4"/>
        <v>0.5611111111111111</v>
      </c>
      <c r="J8" s="76">
        <f t="shared" si="5"/>
        <v>0</v>
      </c>
      <c r="K8" s="70">
        <v>6.9</v>
      </c>
      <c r="L8" s="76">
        <f t="shared" si="1"/>
        <v>1.4637681159420288</v>
      </c>
      <c r="M8" s="70"/>
      <c r="N8" s="70"/>
      <c r="O8" s="76">
        <f>IF(N8&gt;0,M8/N8,0)</f>
        <v>0</v>
      </c>
      <c r="P8" s="70"/>
      <c r="Q8" s="70"/>
      <c r="R8" s="70"/>
      <c r="V8" s="164"/>
    </row>
    <row r="9" spans="1:22" ht="18">
      <c r="A9" s="10" t="s">
        <v>41</v>
      </c>
      <c r="B9" s="13">
        <v>1010203001</v>
      </c>
      <c r="C9" s="70">
        <v>21</v>
      </c>
      <c r="D9" s="70"/>
      <c r="E9" s="70">
        <f>C9+D9</f>
        <v>21</v>
      </c>
      <c r="F9" s="70"/>
      <c r="G9" s="70">
        <v>13.5</v>
      </c>
      <c r="H9" s="67">
        <f>G9+M9</f>
        <v>13.9</v>
      </c>
      <c r="I9" s="76">
        <f t="shared" si="4"/>
        <v>0.6619047619047619</v>
      </c>
      <c r="J9" s="76">
        <f t="shared" si="5"/>
        <v>0</v>
      </c>
      <c r="K9" s="70">
        <v>13.3</v>
      </c>
      <c r="L9" s="76">
        <f t="shared" si="1"/>
        <v>1.045112781954887</v>
      </c>
      <c r="M9" s="70">
        <v>0.4</v>
      </c>
      <c r="N9" s="70"/>
      <c r="O9" s="76">
        <f t="shared" si="2"/>
        <v>0</v>
      </c>
      <c r="P9" s="70">
        <v>7.5</v>
      </c>
      <c r="Q9" s="70">
        <v>2.2</v>
      </c>
      <c r="R9" s="70">
        <v>2.1</v>
      </c>
      <c r="V9" s="164"/>
    </row>
    <row r="10" spans="1:22" ht="20.25" customHeight="1">
      <c r="A10" s="11" t="s">
        <v>47</v>
      </c>
      <c r="B10" s="19">
        <v>1030200001</v>
      </c>
      <c r="C10" s="71">
        <f aca="true" t="shared" si="6" ref="C10:H10">SUM(C11:C14)</f>
        <v>1413.727</v>
      </c>
      <c r="D10" s="71">
        <f t="shared" si="6"/>
        <v>147.017</v>
      </c>
      <c r="E10" s="71">
        <f t="shared" si="6"/>
        <v>1560.744</v>
      </c>
      <c r="F10" s="71">
        <f t="shared" si="6"/>
        <v>0</v>
      </c>
      <c r="G10" s="71">
        <f>G11+G12+G13+G14</f>
        <v>551.1</v>
      </c>
      <c r="H10" s="71">
        <f t="shared" si="6"/>
        <v>664.1999999999999</v>
      </c>
      <c r="I10" s="86">
        <f>IF(E10&gt;0,H10/E10,0)</f>
        <v>0.4255662683950731</v>
      </c>
      <c r="J10" s="86">
        <f>IF(F10&gt;0,H10/F10,0)</f>
        <v>0</v>
      </c>
      <c r="K10" s="71">
        <f>K11+K12+K13+K14</f>
        <v>575.1999999999999</v>
      </c>
      <c r="L10" s="86">
        <f t="shared" si="1"/>
        <v>1.1547287899860919</v>
      </c>
      <c r="M10" s="71">
        <f>M11+M12+M13+M14</f>
        <v>113.10000000000001</v>
      </c>
      <c r="N10" s="71">
        <f>N11+N12+N13+N14</f>
        <v>84.89999999999999</v>
      </c>
      <c r="O10" s="86">
        <f t="shared" si="2"/>
        <v>1.3321554770318023</v>
      </c>
      <c r="P10" s="71">
        <f>SUM(P11:P14)</f>
        <v>0</v>
      </c>
      <c r="Q10" s="71">
        <f>SUM(Q11:Q14)</f>
        <v>0</v>
      </c>
      <c r="R10" s="71">
        <f>SUM(R11:R14)</f>
        <v>0</v>
      </c>
      <c r="V10" s="164"/>
    </row>
    <row r="11" spans="1:22" ht="18.75" customHeight="1">
      <c r="A11" s="12" t="s">
        <v>48</v>
      </c>
      <c r="B11" s="12">
        <v>1030223101</v>
      </c>
      <c r="C11" s="70">
        <v>649.133</v>
      </c>
      <c r="D11" s="70">
        <v>147.017</v>
      </c>
      <c r="E11" s="163">
        <f>C11+D11</f>
        <v>796.1500000000001</v>
      </c>
      <c r="F11" s="66"/>
      <c r="G11" s="70">
        <v>249.8</v>
      </c>
      <c r="H11" s="68">
        <f>G11+M11</f>
        <v>300.40000000000003</v>
      </c>
      <c r="I11" s="69">
        <f>IF(E11&gt;0,H11/E11,0)</f>
        <v>0.377315832443635</v>
      </c>
      <c r="J11" s="69">
        <f>IF(F11&gt;0,H11/F11,0)</f>
        <v>0</v>
      </c>
      <c r="K11" s="70">
        <v>272.5</v>
      </c>
      <c r="L11" s="69">
        <f t="shared" si="1"/>
        <v>1.1023853211009176</v>
      </c>
      <c r="M11" s="70">
        <v>50.6</v>
      </c>
      <c r="N11" s="70">
        <v>41.9</v>
      </c>
      <c r="O11" s="69">
        <f t="shared" si="2"/>
        <v>1.20763723150358</v>
      </c>
      <c r="P11" s="70"/>
      <c r="Q11" s="70"/>
      <c r="R11" s="70"/>
      <c r="V11" s="164"/>
    </row>
    <row r="12" spans="1:22" ht="18" customHeight="1">
      <c r="A12" s="12" t="s">
        <v>49</v>
      </c>
      <c r="B12" s="12">
        <v>1030224101</v>
      </c>
      <c r="C12" s="70">
        <v>3.699</v>
      </c>
      <c r="D12" s="70"/>
      <c r="E12" s="163">
        <f>C12+D12</f>
        <v>3.699</v>
      </c>
      <c r="F12" s="66"/>
      <c r="G12" s="70">
        <v>1.9</v>
      </c>
      <c r="H12" s="68">
        <f>G12+M12</f>
        <v>2.3</v>
      </c>
      <c r="I12" s="69">
        <f>IF(E12&gt;0,H12/E12,0)</f>
        <v>0.6217896728845633</v>
      </c>
      <c r="J12" s="69">
        <f>IF(F12&gt;0,H12/F12,0)</f>
        <v>0</v>
      </c>
      <c r="K12" s="70">
        <v>1.7</v>
      </c>
      <c r="L12" s="69">
        <f t="shared" si="1"/>
        <v>1.352941176470588</v>
      </c>
      <c r="M12" s="70">
        <v>0.4</v>
      </c>
      <c r="N12" s="70">
        <v>0.3</v>
      </c>
      <c r="O12" s="69">
        <f t="shared" si="2"/>
        <v>1.3333333333333335</v>
      </c>
      <c r="P12" s="70"/>
      <c r="Q12" s="70"/>
      <c r="R12" s="70"/>
      <c r="V12" s="164"/>
    </row>
    <row r="13" spans="1:22" ht="18.75" customHeight="1">
      <c r="A13" s="12" t="s">
        <v>50</v>
      </c>
      <c r="B13" s="12">
        <v>1030225101</v>
      </c>
      <c r="C13" s="70">
        <v>853.896</v>
      </c>
      <c r="D13" s="70"/>
      <c r="E13" s="163">
        <f>C13+D13</f>
        <v>853.896</v>
      </c>
      <c r="F13" s="66"/>
      <c r="G13" s="70">
        <v>342.9</v>
      </c>
      <c r="H13" s="68">
        <f>G13+M13</f>
        <v>417.59999999999997</v>
      </c>
      <c r="I13" s="69">
        <f>IF(E13&gt;0,H13/E13,0)</f>
        <v>0.48905253098738016</v>
      </c>
      <c r="J13" s="69">
        <f>IF(F13&gt;0,H13/F13,0)</f>
        <v>0</v>
      </c>
      <c r="K13" s="70">
        <v>355.1</v>
      </c>
      <c r="L13" s="69">
        <f t="shared" si="1"/>
        <v>1.1760067586595324</v>
      </c>
      <c r="M13" s="70">
        <v>74.7</v>
      </c>
      <c r="N13" s="70">
        <v>48.6</v>
      </c>
      <c r="O13" s="69">
        <f t="shared" si="2"/>
        <v>1.537037037037037</v>
      </c>
      <c r="P13" s="70"/>
      <c r="Q13" s="70"/>
      <c r="R13" s="70"/>
      <c r="V13" s="164"/>
    </row>
    <row r="14" spans="1:22" ht="18" customHeight="1">
      <c r="A14" s="12" t="s">
        <v>51</v>
      </c>
      <c r="B14" s="12">
        <v>1030226101</v>
      </c>
      <c r="C14" s="70">
        <v>-93.001</v>
      </c>
      <c r="D14" s="70"/>
      <c r="E14" s="163">
        <f>C14+D14</f>
        <v>-93.001</v>
      </c>
      <c r="F14" s="66"/>
      <c r="G14" s="70">
        <v>-43.5</v>
      </c>
      <c r="H14" s="68">
        <f>G14+M14</f>
        <v>-56.1</v>
      </c>
      <c r="I14" s="69">
        <f>H14/E14</f>
        <v>0.6032193202223631</v>
      </c>
      <c r="J14" s="69">
        <f>IF(F14&gt;0,H14/F14,0)</f>
        <v>0</v>
      </c>
      <c r="K14" s="70">
        <v>-54.1</v>
      </c>
      <c r="L14" s="69">
        <f t="shared" si="1"/>
        <v>0</v>
      </c>
      <c r="M14" s="70">
        <v>-12.6</v>
      </c>
      <c r="N14" s="70">
        <v>-5.9</v>
      </c>
      <c r="O14" s="69">
        <f t="shared" si="2"/>
        <v>0</v>
      </c>
      <c r="P14" s="70"/>
      <c r="Q14" s="70"/>
      <c r="R14" s="70"/>
      <c r="V14" s="164"/>
    </row>
    <row r="15" spans="1:22" ht="18">
      <c r="A15" s="9" t="s">
        <v>69</v>
      </c>
      <c r="B15" s="29">
        <v>1050000000</v>
      </c>
      <c r="C15" s="71">
        <f aca="true" t="shared" si="7" ref="C15:H15">C16</f>
        <v>15</v>
      </c>
      <c r="D15" s="72">
        <f t="shared" si="7"/>
        <v>0</v>
      </c>
      <c r="E15" s="72">
        <f t="shared" si="7"/>
        <v>15</v>
      </c>
      <c r="F15" s="72">
        <f t="shared" si="7"/>
        <v>0</v>
      </c>
      <c r="G15" s="71">
        <f>G16</f>
        <v>0</v>
      </c>
      <c r="H15" s="72">
        <f t="shared" si="7"/>
        <v>0</v>
      </c>
      <c r="I15" s="65">
        <f t="shared" si="4"/>
        <v>0</v>
      </c>
      <c r="J15" s="65">
        <f t="shared" si="5"/>
        <v>0</v>
      </c>
      <c r="K15" s="71">
        <f>K16</f>
        <v>5.8</v>
      </c>
      <c r="L15" s="65">
        <f t="shared" si="1"/>
        <v>0</v>
      </c>
      <c r="M15" s="71">
        <f>M16</f>
        <v>0</v>
      </c>
      <c r="N15" s="71">
        <f>N16</f>
        <v>0</v>
      </c>
      <c r="O15" s="65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V15" s="164"/>
    </row>
    <row r="16" spans="1:22" ht="18">
      <c r="A16" s="13" t="s">
        <v>7</v>
      </c>
      <c r="B16" s="13">
        <v>1050300001</v>
      </c>
      <c r="C16" s="70">
        <v>15</v>
      </c>
      <c r="D16" s="82"/>
      <c r="E16" s="66">
        <f>C16+D16</f>
        <v>15</v>
      </c>
      <c r="F16" s="66"/>
      <c r="G16" s="70"/>
      <c r="H16" s="68">
        <f>G16+M16</f>
        <v>0</v>
      </c>
      <c r="I16" s="69">
        <f t="shared" si="4"/>
        <v>0</v>
      </c>
      <c r="J16" s="69">
        <f t="shared" si="5"/>
        <v>0</v>
      </c>
      <c r="K16" s="70">
        <v>5.8</v>
      </c>
      <c r="L16" s="69">
        <f t="shared" si="1"/>
        <v>0</v>
      </c>
      <c r="M16" s="70"/>
      <c r="N16" s="70"/>
      <c r="O16" s="69">
        <f t="shared" si="2"/>
        <v>0</v>
      </c>
      <c r="P16" s="70"/>
      <c r="Q16" s="70"/>
      <c r="R16" s="70"/>
      <c r="V16" s="164"/>
    </row>
    <row r="17" spans="1:22" ht="18">
      <c r="A17" s="9" t="s">
        <v>70</v>
      </c>
      <c r="B17" s="29">
        <v>1060000000</v>
      </c>
      <c r="C17" s="71">
        <f aca="true" t="shared" si="8" ref="C17:H17">C18+C21</f>
        <v>1904</v>
      </c>
      <c r="D17" s="72">
        <f t="shared" si="8"/>
        <v>0</v>
      </c>
      <c r="E17" s="126">
        <f t="shared" si="8"/>
        <v>1904</v>
      </c>
      <c r="F17" s="72">
        <f t="shared" si="8"/>
        <v>0</v>
      </c>
      <c r="G17" s="72">
        <f>G18+G21</f>
        <v>345.8</v>
      </c>
      <c r="H17" s="72">
        <f t="shared" si="8"/>
        <v>434.3</v>
      </c>
      <c r="I17" s="65">
        <f t="shared" si="4"/>
        <v>0.2280987394957983</v>
      </c>
      <c r="J17" s="65">
        <f t="shared" si="5"/>
        <v>0</v>
      </c>
      <c r="K17" s="72">
        <f>K18+K21</f>
        <v>209.4</v>
      </c>
      <c r="L17" s="65">
        <f t="shared" si="1"/>
        <v>2.074021012416428</v>
      </c>
      <c r="M17" s="72">
        <f>M18+M21</f>
        <v>88.5</v>
      </c>
      <c r="N17" s="72">
        <f>N18+N21</f>
        <v>23.4</v>
      </c>
      <c r="O17" s="65">
        <f t="shared" si="2"/>
        <v>3.7820512820512824</v>
      </c>
      <c r="P17" s="71">
        <f>P18+P21</f>
        <v>461.5</v>
      </c>
      <c r="Q17" s="71">
        <f>Q18+Q21</f>
        <v>217.1</v>
      </c>
      <c r="R17" s="71">
        <f>R18+R21</f>
        <v>212.5</v>
      </c>
      <c r="V17" s="164"/>
    </row>
    <row r="18" spans="1:22" ht="18">
      <c r="A18" s="13" t="s">
        <v>13</v>
      </c>
      <c r="B18" s="13">
        <v>1060600000</v>
      </c>
      <c r="C18" s="67">
        <f aca="true" t="shared" si="9" ref="C18:H18">C19+C20</f>
        <v>937</v>
      </c>
      <c r="D18" s="67">
        <f t="shared" si="9"/>
        <v>0</v>
      </c>
      <c r="E18" s="67">
        <f t="shared" si="9"/>
        <v>937</v>
      </c>
      <c r="F18" s="67">
        <f t="shared" si="9"/>
        <v>0</v>
      </c>
      <c r="G18" s="73">
        <f>G19+G20</f>
        <v>201.20000000000002</v>
      </c>
      <c r="H18" s="67">
        <f t="shared" si="9"/>
        <v>255.8</v>
      </c>
      <c r="I18" s="69">
        <f t="shared" si="4"/>
        <v>0.2729989327641409</v>
      </c>
      <c r="J18" s="69">
        <f t="shared" si="5"/>
        <v>0</v>
      </c>
      <c r="K18" s="73">
        <f>K19+K20</f>
        <v>152</v>
      </c>
      <c r="L18" s="69">
        <f t="shared" si="1"/>
        <v>1.6828947368421054</v>
      </c>
      <c r="M18" s="73">
        <f>M19+M20</f>
        <v>54.6</v>
      </c>
      <c r="N18" s="73">
        <f>N19+N20</f>
        <v>15.1</v>
      </c>
      <c r="O18" s="69">
        <f t="shared" si="2"/>
        <v>3.6158940397350996</v>
      </c>
      <c r="P18" s="70">
        <f>P19+P20</f>
        <v>136.8</v>
      </c>
      <c r="Q18" s="70">
        <f>Q19+Q20</f>
        <v>91.1</v>
      </c>
      <c r="R18" s="70">
        <f>R19+R20</f>
        <v>89.8</v>
      </c>
      <c r="V18" s="164"/>
    </row>
    <row r="19" spans="1:22" ht="18">
      <c r="A19" s="13" t="s">
        <v>99</v>
      </c>
      <c r="B19" s="13">
        <v>1060603313</v>
      </c>
      <c r="C19" s="70">
        <v>268</v>
      </c>
      <c r="D19" s="67"/>
      <c r="E19" s="68">
        <f>C19+D19</f>
        <v>268</v>
      </c>
      <c r="F19" s="66"/>
      <c r="G19" s="70">
        <v>157.3</v>
      </c>
      <c r="H19" s="68">
        <f>G19+M19</f>
        <v>210.3</v>
      </c>
      <c r="I19" s="69">
        <f t="shared" si="4"/>
        <v>0.7847014925373135</v>
      </c>
      <c r="J19" s="69">
        <f t="shared" si="5"/>
        <v>0</v>
      </c>
      <c r="K19" s="70">
        <v>126.4</v>
      </c>
      <c r="L19" s="69">
        <f t="shared" si="1"/>
        <v>1.6637658227848102</v>
      </c>
      <c r="M19" s="70">
        <v>53</v>
      </c>
      <c r="N19" s="70">
        <v>12.7</v>
      </c>
      <c r="O19" s="69">
        <f t="shared" si="2"/>
        <v>4.1732283464566935</v>
      </c>
      <c r="P19" s="70"/>
      <c r="Q19" s="70"/>
      <c r="R19" s="70"/>
      <c r="V19" s="164"/>
    </row>
    <row r="20" spans="1:22" ht="18">
      <c r="A20" s="13" t="s">
        <v>100</v>
      </c>
      <c r="B20" s="13">
        <v>1060604313</v>
      </c>
      <c r="C20" s="70">
        <v>669</v>
      </c>
      <c r="D20" s="67"/>
      <c r="E20" s="66">
        <f>C20+D20</f>
        <v>669</v>
      </c>
      <c r="F20" s="66"/>
      <c r="G20" s="70">
        <v>43.9</v>
      </c>
      <c r="H20" s="68">
        <f>G20+M20</f>
        <v>45.5</v>
      </c>
      <c r="I20" s="69">
        <f t="shared" si="4"/>
        <v>0.06801195814648729</v>
      </c>
      <c r="J20" s="69">
        <f t="shared" si="5"/>
        <v>0</v>
      </c>
      <c r="K20" s="70">
        <v>25.6</v>
      </c>
      <c r="L20" s="69">
        <f t="shared" si="1"/>
        <v>1.77734375</v>
      </c>
      <c r="M20" s="70">
        <v>1.6</v>
      </c>
      <c r="N20" s="70">
        <v>2.4</v>
      </c>
      <c r="O20" s="69">
        <f t="shared" si="2"/>
        <v>0.6666666666666667</v>
      </c>
      <c r="P20" s="70">
        <v>136.8</v>
      </c>
      <c r="Q20" s="70">
        <v>91.1</v>
      </c>
      <c r="R20" s="70">
        <v>89.8</v>
      </c>
      <c r="V20" s="164"/>
    </row>
    <row r="21" spans="1:22" ht="18">
      <c r="A21" s="13" t="s">
        <v>12</v>
      </c>
      <c r="B21" s="13">
        <v>1060103013</v>
      </c>
      <c r="C21" s="70">
        <v>967</v>
      </c>
      <c r="D21" s="67"/>
      <c r="E21" s="66">
        <f>C21+D21</f>
        <v>967</v>
      </c>
      <c r="F21" s="66"/>
      <c r="G21" s="70">
        <v>144.6</v>
      </c>
      <c r="H21" s="68">
        <f>G21+M21</f>
        <v>178.5</v>
      </c>
      <c r="I21" s="69">
        <f t="shared" si="4"/>
        <v>0.18459152016546018</v>
      </c>
      <c r="J21" s="69">
        <f t="shared" si="5"/>
        <v>0</v>
      </c>
      <c r="K21" s="70">
        <v>57.4</v>
      </c>
      <c r="L21" s="69">
        <f t="shared" si="1"/>
        <v>3.1097560975609757</v>
      </c>
      <c r="M21" s="70">
        <v>33.9</v>
      </c>
      <c r="N21" s="70">
        <v>8.3</v>
      </c>
      <c r="O21" s="69">
        <f t="shared" si="2"/>
        <v>4.08433734939759</v>
      </c>
      <c r="P21" s="70">
        <v>324.7</v>
      </c>
      <c r="Q21" s="70">
        <v>126</v>
      </c>
      <c r="R21" s="70">
        <v>122.7</v>
      </c>
      <c r="V21" s="164"/>
    </row>
    <row r="22" spans="1:22" ht="1.5" customHeight="1">
      <c r="A22" s="9" t="s">
        <v>72</v>
      </c>
      <c r="B22" s="29">
        <v>1090405010</v>
      </c>
      <c r="C22" s="71"/>
      <c r="D22" s="72"/>
      <c r="E22" s="64">
        <f>C22+D22</f>
        <v>0</v>
      </c>
      <c r="F22" s="64"/>
      <c r="G22" s="71"/>
      <c r="H22" s="74">
        <f>G22+M22</f>
        <v>0</v>
      </c>
      <c r="I22" s="65">
        <f t="shared" si="4"/>
        <v>0</v>
      </c>
      <c r="J22" s="65">
        <f t="shared" si="5"/>
        <v>0</v>
      </c>
      <c r="K22" s="71"/>
      <c r="L22" s="65">
        <f t="shared" si="1"/>
        <v>0</v>
      </c>
      <c r="M22" s="71"/>
      <c r="N22" s="71"/>
      <c r="O22" s="65">
        <f aca="true" t="shared" si="10" ref="O22:O37">IF(N22&gt;0,M22/N22,0)</f>
        <v>0</v>
      </c>
      <c r="P22" s="71"/>
      <c r="Q22" s="71"/>
      <c r="R22" s="71"/>
      <c r="V22" s="164"/>
    </row>
    <row r="23" spans="1:22" ht="18">
      <c r="A23" s="14" t="s">
        <v>22</v>
      </c>
      <c r="B23" s="31"/>
      <c r="C23" s="75">
        <f>C24+C30+C33+C37+C38</f>
        <v>2192</v>
      </c>
      <c r="D23" s="75">
        <f>D24+D30+D33+D37+D38</f>
        <v>-147.017</v>
      </c>
      <c r="E23" s="75">
        <f>E24+E32+E35+E38+E37+E34+E31+E36</f>
        <v>2044.983</v>
      </c>
      <c r="F23" s="75">
        <f>F24+F32+F35+F38+F37+F34+F31+F36</f>
        <v>0</v>
      </c>
      <c r="G23" s="75">
        <f>G24+G30+G33+G37+G38</f>
        <v>639.5</v>
      </c>
      <c r="H23" s="75">
        <f>H24+H32+H35+H38+H37+H34+H31+H36</f>
        <v>751.4</v>
      </c>
      <c r="I23" s="63">
        <f t="shared" si="4"/>
        <v>0.36743581731486274</v>
      </c>
      <c r="J23" s="63">
        <f t="shared" si="5"/>
        <v>0</v>
      </c>
      <c r="K23" s="75">
        <f>K24+K30+K33+K37+K38</f>
        <v>874.3000000000001</v>
      </c>
      <c r="L23" s="63">
        <f t="shared" si="1"/>
        <v>0.8594304014640283</v>
      </c>
      <c r="M23" s="75">
        <f>M24+M30+M33+M37+M38</f>
        <v>111.90000000000002</v>
      </c>
      <c r="N23" s="75">
        <f>N24+N30+N33+N37+N38</f>
        <v>173.1</v>
      </c>
      <c r="O23" s="63">
        <f t="shared" si="10"/>
        <v>0.6464471403812826</v>
      </c>
      <c r="P23" s="75">
        <f>P24+P31+P34+P37+P36+P33</f>
        <v>153.5</v>
      </c>
      <c r="Q23" s="85">
        <f>Q24+Q31+Q34+Q37+Q36+Q33</f>
        <v>165.8</v>
      </c>
      <c r="R23" s="85">
        <f>R24+R31+R34+R37+R36+R33</f>
        <v>203.2</v>
      </c>
      <c r="V23" s="164"/>
    </row>
    <row r="24" spans="1:22" ht="18">
      <c r="A24" s="9" t="s">
        <v>73</v>
      </c>
      <c r="B24" s="29">
        <v>1110000000</v>
      </c>
      <c r="C24" s="71">
        <f aca="true" t="shared" si="11" ref="C24:H24">C25+C28+C29+C26+C27</f>
        <v>1936</v>
      </c>
      <c r="D24" s="71">
        <f t="shared" si="11"/>
        <v>0</v>
      </c>
      <c r="E24" s="71">
        <f t="shared" si="11"/>
        <v>1936</v>
      </c>
      <c r="F24" s="71">
        <f t="shared" si="11"/>
        <v>0</v>
      </c>
      <c r="G24" s="71">
        <f>G25+G28+G29+G26+G27</f>
        <v>535.9</v>
      </c>
      <c r="H24" s="71">
        <f t="shared" si="11"/>
        <v>647.8</v>
      </c>
      <c r="I24" s="65">
        <f t="shared" si="4"/>
        <v>0.3346074380165289</v>
      </c>
      <c r="J24" s="65">
        <f t="shared" si="5"/>
        <v>0</v>
      </c>
      <c r="K24" s="71">
        <f>K25+K28+K29+K26+K27</f>
        <v>829.8000000000001</v>
      </c>
      <c r="L24" s="65">
        <f t="shared" si="1"/>
        <v>0.7806700409737285</v>
      </c>
      <c r="M24" s="71">
        <f>M25+M28+M29+M26+M27</f>
        <v>111.90000000000002</v>
      </c>
      <c r="N24" s="71">
        <f>N25+N28+N29+N26+N27</f>
        <v>173.1</v>
      </c>
      <c r="O24" s="65">
        <f t="shared" si="10"/>
        <v>0.6464471403812826</v>
      </c>
      <c r="P24" s="71">
        <f>P25+P27+P28</f>
        <v>153.5</v>
      </c>
      <c r="Q24" s="72">
        <f>Q25+Q27+Q28</f>
        <v>165.8</v>
      </c>
      <c r="R24" s="72">
        <f>R25+R27+R28</f>
        <v>203.2</v>
      </c>
      <c r="V24" s="164"/>
    </row>
    <row r="25" spans="1:22" ht="18.75">
      <c r="A25" s="53" t="s">
        <v>96</v>
      </c>
      <c r="B25" s="13">
        <v>1110501313</v>
      </c>
      <c r="C25" s="70">
        <v>1150</v>
      </c>
      <c r="D25" s="67"/>
      <c r="E25" s="66">
        <f aca="true" t="shared" si="12" ref="E25:E34">C25+D25</f>
        <v>1150</v>
      </c>
      <c r="F25" s="66"/>
      <c r="G25" s="70">
        <v>239.6</v>
      </c>
      <c r="H25" s="68">
        <f aca="true" t="shared" si="13" ref="H25:H37">G25+M25</f>
        <v>288.7</v>
      </c>
      <c r="I25" s="69">
        <f t="shared" si="4"/>
        <v>0.25104347826086953</v>
      </c>
      <c r="J25" s="69">
        <f t="shared" si="5"/>
        <v>0</v>
      </c>
      <c r="K25" s="70">
        <v>450.2</v>
      </c>
      <c r="L25" s="69">
        <f t="shared" si="1"/>
        <v>0.6412705464238116</v>
      </c>
      <c r="M25" s="70">
        <v>49.1</v>
      </c>
      <c r="N25" s="70">
        <v>110.5</v>
      </c>
      <c r="O25" s="69">
        <f t="shared" si="10"/>
        <v>0.44434389140271496</v>
      </c>
      <c r="P25" s="60">
        <v>92</v>
      </c>
      <c r="Q25" s="179">
        <v>165.8</v>
      </c>
      <c r="R25" s="179">
        <v>116.7</v>
      </c>
      <c r="V25" s="164"/>
    </row>
    <row r="26" spans="1:22" ht="18.75">
      <c r="A26" s="13" t="s">
        <v>97</v>
      </c>
      <c r="B26" s="13">
        <v>1110502513</v>
      </c>
      <c r="C26" s="70"/>
      <c r="D26" s="82"/>
      <c r="E26" s="66">
        <f t="shared" si="12"/>
        <v>0</v>
      </c>
      <c r="F26" s="66"/>
      <c r="G26" s="70">
        <v>0.4</v>
      </c>
      <c r="H26" s="68">
        <f>G26+M26</f>
        <v>0.8</v>
      </c>
      <c r="I26" s="69">
        <f>IF(E26&gt;0,H26/E26,0)</f>
        <v>0</v>
      </c>
      <c r="J26" s="69"/>
      <c r="K26" s="70">
        <v>8.6</v>
      </c>
      <c r="L26" s="69">
        <f t="shared" si="1"/>
        <v>0.0930232558139535</v>
      </c>
      <c r="M26" s="70">
        <v>0.4</v>
      </c>
      <c r="N26" s="70">
        <v>6.5</v>
      </c>
      <c r="O26" s="69">
        <f t="shared" si="10"/>
        <v>0.06153846153846154</v>
      </c>
      <c r="P26" s="60"/>
      <c r="Q26" s="60"/>
      <c r="R26" s="60"/>
      <c r="V26" s="164"/>
    </row>
    <row r="27" spans="1:22" ht="18.75">
      <c r="A27" s="13" t="s">
        <v>109</v>
      </c>
      <c r="B27" s="13">
        <v>1110507513</v>
      </c>
      <c r="C27" s="70">
        <v>324</v>
      </c>
      <c r="D27" s="82"/>
      <c r="E27" s="66">
        <f t="shared" si="12"/>
        <v>324</v>
      </c>
      <c r="F27" s="66"/>
      <c r="G27" s="70">
        <v>133.6</v>
      </c>
      <c r="H27" s="68">
        <f>G27+M27</f>
        <v>160.29999999999998</v>
      </c>
      <c r="I27" s="69">
        <f>IF(E27&gt;0,H27/E27,0)</f>
        <v>0.494753086419753</v>
      </c>
      <c r="J27" s="69"/>
      <c r="K27" s="70">
        <v>154</v>
      </c>
      <c r="L27" s="69"/>
      <c r="M27" s="70">
        <v>26.7</v>
      </c>
      <c r="N27" s="70">
        <v>25.7</v>
      </c>
      <c r="O27" s="69"/>
      <c r="P27" s="60"/>
      <c r="Q27" s="60"/>
      <c r="R27" s="60"/>
      <c r="V27" s="164"/>
    </row>
    <row r="28" spans="1:22" ht="18">
      <c r="A28" s="13" t="s">
        <v>23</v>
      </c>
      <c r="B28" s="13">
        <v>1110904513</v>
      </c>
      <c r="C28" s="70">
        <v>462</v>
      </c>
      <c r="D28" s="82"/>
      <c r="E28" s="66">
        <f t="shared" si="12"/>
        <v>462</v>
      </c>
      <c r="F28" s="66"/>
      <c r="G28" s="70">
        <v>162.3</v>
      </c>
      <c r="H28" s="68">
        <f t="shared" si="13"/>
        <v>198</v>
      </c>
      <c r="I28" s="69">
        <f t="shared" si="4"/>
        <v>0.42857142857142855</v>
      </c>
      <c r="J28" s="69">
        <f t="shared" si="5"/>
        <v>0</v>
      </c>
      <c r="K28" s="70">
        <v>217</v>
      </c>
      <c r="L28" s="69">
        <f t="shared" si="1"/>
        <v>0.9124423963133641</v>
      </c>
      <c r="M28" s="70">
        <v>35.7</v>
      </c>
      <c r="N28" s="70">
        <v>30.4</v>
      </c>
      <c r="O28" s="69">
        <f t="shared" si="10"/>
        <v>1.174342105263158</v>
      </c>
      <c r="P28" s="70">
        <v>61.5</v>
      </c>
      <c r="Q28" s="70"/>
      <c r="R28" s="70">
        <v>86.5</v>
      </c>
      <c r="V28" s="164"/>
    </row>
    <row r="29" spans="1:22" ht="10.5" customHeight="1" hidden="1">
      <c r="A29" s="30" t="s">
        <v>18</v>
      </c>
      <c r="B29" s="13">
        <v>1110903513</v>
      </c>
      <c r="C29" s="70"/>
      <c r="D29" s="70"/>
      <c r="E29" s="66">
        <f t="shared" si="12"/>
        <v>0</v>
      </c>
      <c r="F29" s="66"/>
      <c r="G29" s="70"/>
      <c r="H29" s="68">
        <f t="shared" si="13"/>
        <v>0</v>
      </c>
      <c r="I29" s="69">
        <f t="shared" si="4"/>
        <v>0</v>
      </c>
      <c r="J29" s="69">
        <f t="shared" si="5"/>
        <v>0</v>
      </c>
      <c r="K29" s="70"/>
      <c r="L29" s="69">
        <f t="shared" si="1"/>
        <v>0</v>
      </c>
      <c r="M29" s="70"/>
      <c r="N29" s="70"/>
      <c r="O29" s="69">
        <f t="shared" si="10"/>
        <v>0</v>
      </c>
      <c r="P29" s="70"/>
      <c r="Q29" s="70"/>
      <c r="R29" s="70"/>
      <c r="V29" s="164"/>
    </row>
    <row r="30" spans="1:22" ht="18.75">
      <c r="A30" s="143" t="s">
        <v>65</v>
      </c>
      <c r="B30" s="145">
        <v>1130000000</v>
      </c>
      <c r="C30" s="130">
        <f>C31+C32</f>
        <v>0</v>
      </c>
      <c r="D30" s="130">
        <f>D31+D32</f>
        <v>0</v>
      </c>
      <c r="E30" s="131">
        <f>C30+D30</f>
        <v>0</v>
      </c>
      <c r="F30" s="131"/>
      <c r="G30" s="130">
        <f>G31+G32</f>
        <v>0</v>
      </c>
      <c r="H30" s="144">
        <f t="shared" si="13"/>
        <v>0</v>
      </c>
      <c r="I30" s="132">
        <f t="shared" si="4"/>
        <v>0</v>
      </c>
      <c r="J30" s="132"/>
      <c r="K30" s="130">
        <f>K31+K32</f>
        <v>28.1</v>
      </c>
      <c r="L30" s="132">
        <f t="shared" si="1"/>
        <v>0</v>
      </c>
      <c r="M30" s="130">
        <f>M31+M32</f>
        <v>0</v>
      </c>
      <c r="N30" s="130">
        <f>N31+N32</f>
        <v>0</v>
      </c>
      <c r="O30" s="132">
        <f t="shared" si="10"/>
        <v>0</v>
      </c>
      <c r="P30" s="130">
        <f>P31+P32</f>
        <v>0</v>
      </c>
      <c r="Q30" s="130">
        <f>Q31+Q32</f>
        <v>0</v>
      </c>
      <c r="R30" s="130">
        <f>R31+R32</f>
        <v>0</v>
      </c>
      <c r="V30" s="164"/>
    </row>
    <row r="31" spans="1:22" ht="18">
      <c r="A31" s="44" t="s">
        <v>102</v>
      </c>
      <c r="B31" s="15">
        <v>1130206513</v>
      </c>
      <c r="C31" s="139"/>
      <c r="D31" s="139"/>
      <c r="E31" s="140">
        <f t="shared" si="12"/>
        <v>0</v>
      </c>
      <c r="F31" s="140"/>
      <c r="G31" s="139"/>
      <c r="H31" s="141">
        <f t="shared" si="13"/>
        <v>0</v>
      </c>
      <c r="I31" s="142">
        <f t="shared" si="4"/>
        <v>0</v>
      </c>
      <c r="J31" s="142"/>
      <c r="K31" s="139"/>
      <c r="L31" s="142">
        <f t="shared" si="1"/>
        <v>0</v>
      </c>
      <c r="M31" s="139"/>
      <c r="N31" s="139"/>
      <c r="O31" s="142">
        <f t="shared" si="10"/>
        <v>0</v>
      </c>
      <c r="P31" s="139"/>
      <c r="Q31" s="139"/>
      <c r="R31" s="139"/>
      <c r="V31" s="164"/>
    </row>
    <row r="32" spans="1:22" ht="18">
      <c r="A32" s="15" t="s">
        <v>38</v>
      </c>
      <c r="B32" s="15">
        <v>1130299513</v>
      </c>
      <c r="C32" s="139"/>
      <c r="D32" s="139"/>
      <c r="E32" s="140">
        <f t="shared" si="12"/>
        <v>0</v>
      </c>
      <c r="F32" s="140"/>
      <c r="G32" s="139"/>
      <c r="H32" s="141">
        <f t="shared" si="13"/>
        <v>0</v>
      </c>
      <c r="I32" s="142">
        <f t="shared" si="4"/>
        <v>0</v>
      </c>
      <c r="J32" s="142">
        <f t="shared" si="5"/>
        <v>0</v>
      </c>
      <c r="K32" s="139">
        <v>28.1</v>
      </c>
      <c r="L32" s="142">
        <f t="shared" si="1"/>
        <v>0</v>
      </c>
      <c r="M32" s="139"/>
      <c r="N32" s="139"/>
      <c r="O32" s="142">
        <f t="shared" si="10"/>
        <v>0</v>
      </c>
      <c r="P32" s="139"/>
      <c r="Q32" s="139"/>
      <c r="R32" s="139"/>
      <c r="V32" s="164"/>
    </row>
    <row r="33" spans="1:22" ht="18.75">
      <c r="A33" s="143" t="s">
        <v>66</v>
      </c>
      <c r="B33" s="145">
        <v>1140000000</v>
      </c>
      <c r="C33" s="148">
        <f>C34+C35+C36</f>
        <v>250</v>
      </c>
      <c r="D33" s="148">
        <f>D34+D35+D36</f>
        <v>-147.017</v>
      </c>
      <c r="E33" s="131">
        <f t="shared" si="12"/>
        <v>102.983</v>
      </c>
      <c r="F33" s="131"/>
      <c r="G33" s="148">
        <f>G34+G35+G36</f>
        <v>103.6</v>
      </c>
      <c r="H33" s="144">
        <f t="shared" si="13"/>
        <v>103.6</v>
      </c>
      <c r="I33" s="132">
        <f>IF(E33&gt;0,H33/E33,0)</f>
        <v>1.0059912801141935</v>
      </c>
      <c r="J33" s="132"/>
      <c r="K33" s="148">
        <f>K34+K35+K36</f>
        <v>15.5</v>
      </c>
      <c r="L33" s="132">
        <f>IF(K33&gt;0,H33/K33,0)</f>
        <v>6.683870967741935</v>
      </c>
      <c r="M33" s="148">
        <f>M34+M35+M36</f>
        <v>0</v>
      </c>
      <c r="N33" s="148">
        <f>N34+N35+N36</f>
        <v>0</v>
      </c>
      <c r="O33" s="132">
        <f t="shared" si="10"/>
        <v>0</v>
      </c>
      <c r="P33" s="148">
        <f>P34+P35+P36</f>
        <v>0</v>
      </c>
      <c r="Q33" s="148">
        <f>Q34+Q35+Q36</f>
        <v>0</v>
      </c>
      <c r="R33" s="148">
        <f>R34+R35+R36</f>
        <v>0</v>
      </c>
      <c r="V33" s="164"/>
    </row>
    <row r="34" spans="1:22" ht="18">
      <c r="A34" s="15" t="s">
        <v>74</v>
      </c>
      <c r="B34" s="15">
        <v>1140205313</v>
      </c>
      <c r="C34" s="139">
        <v>100</v>
      </c>
      <c r="D34" s="139">
        <v>-47.017</v>
      </c>
      <c r="E34" s="140">
        <f t="shared" si="12"/>
        <v>52.983</v>
      </c>
      <c r="F34" s="140"/>
      <c r="G34" s="139"/>
      <c r="H34" s="141">
        <f t="shared" si="13"/>
        <v>0</v>
      </c>
      <c r="I34" s="142">
        <f>IF(E34&gt;0,H34/E34,0)</f>
        <v>0</v>
      </c>
      <c r="J34" s="142">
        <f>IF(F34&gt;0,H34/F34,0)</f>
        <v>0</v>
      </c>
      <c r="K34" s="139">
        <v>10.7</v>
      </c>
      <c r="L34" s="142">
        <f>IF(K34&gt;0,H34/K34,0)</f>
        <v>0</v>
      </c>
      <c r="M34" s="139"/>
      <c r="N34" s="139"/>
      <c r="O34" s="142">
        <f t="shared" si="10"/>
        <v>0</v>
      </c>
      <c r="P34" s="139"/>
      <c r="Q34" s="139"/>
      <c r="R34" s="139"/>
      <c r="V34" s="164"/>
    </row>
    <row r="35" spans="1:22" ht="18">
      <c r="A35" s="15" t="s">
        <v>103</v>
      </c>
      <c r="B35" s="15">
        <v>1140601313</v>
      </c>
      <c r="C35" s="139">
        <v>150</v>
      </c>
      <c r="D35" s="139">
        <v>-100</v>
      </c>
      <c r="E35" s="141">
        <f>C35+D35</f>
        <v>50</v>
      </c>
      <c r="F35" s="141"/>
      <c r="G35" s="139">
        <v>103.6</v>
      </c>
      <c r="H35" s="141">
        <f t="shared" si="13"/>
        <v>103.6</v>
      </c>
      <c r="I35" s="142">
        <f t="shared" si="4"/>
        <v>2.072</v>
      </c>
      <c r="J35" s="142">
        <f t="shared" si="5"/>
        <v>0</v>
      </c>
      <c r="K35" s="139">
        <v>4.8</v>
      </c>
      <c r="L35" s="142">
        <f t="shared" si="1"/>
        <v>21.583333333333332</v>
      </c>
      <c r="M35" s="139"/>
      <c r="N35" s="139"/>
      <c r="O35" s="142">
        <f t="shared" si="10"/>
        <v>0</v>
      </c>
      <c r="P35" s="139"/>
      <c r="Q35" s="139"/>
      <c r="R35" s="139"/>
      <c r="V35" s="164"/>
    </row>
    <row r="36" spans="1:22" ht="18">
      <c r="A36" s="15" t="s">
        <v>104</v>
      </c>
      <c r="B36" s="147">
        <v>1140602513</v>
      </c>
      <c r="C36" s="146"/>
      <c r="D36" s="139"/>
      <c r="E36" s="141">
        <f>C36+D36</f>
        <v>0</v>
      </c>
      <c r="F36" s="141"/>
      <c r="G36" s="139"/>
      <c r="H36" s="141">
        <f t="shared" si="13"/>
        <v>0</v>
      </c>
      <c r="I36" s="142">
        <f t="shared" si="4"/>
        <v>0</v>
      </c>
      <c r="J36" s="142">
        <f t="shared" si="5"/>
        <v>0</v>
      </c>
      <c r="K36" s="139"/>
      <c r="L36" s="142">
        <f t="shared" si="1"/>
        <v>0</v>
      </c>
      <c r="M36" s="139"/>
      <c r="N36" s="139"/>
      <c r="O36" s="142">
        <f t="shared" si="10"/>
        <v>0</v>
      </c>
      <c r="P36" s="139"/>
      <c r="Q36" s="139"/>
      <c r="R36" s="139"/>
      <c r="V36" s="164"/>
    </row>
    <row r="37" spans="1:22" ht="18">
      <c r="A37" s="9" t="s">
        <v>76</v>
      </c>
      <c r="B37" s="54">
        <v>1160000000</v>
      </c>
      <c r="C37" s="71">
        <v>6</v>
      </c>
      <c r="D37" s="71"/>
      <c r="E37" s="84">
        <f>C37+D37</f>
        <v>6</v>
      </c>
      <c r="F37" s="74"/>
      <c r="G37" s="71"/>
      <c r="H37" s="74">
        <f t="shared" si="13"/>
        <v>0</v>
      </c>
      <c r="I37" s="65">
        <f t="shared" si="4"/>
        <v>0</v>
      </c>
      <c r="J37" s="65">
        <f t="shared" si="5"/>
        <v>0</v>
      </c>
      <c r="K37" s="71">
        <v>0.9</v>
      </c>
      <c r="L37" s="65">
        <f t="shared" si="1"/>
        <v>0</v>
      </c>
      <c r="M37" s="71"/>
      <c r="N37" s="71"/>
      <c r="O37" s="65">
        <f t="shared" si="10"/>
        <v>0</v>
      </c>
      <c r="P37" s="71"/>
      <c r="Q37" s="71"/>
      <c r="R37" s="71"/>
      <c r="V37" s="164"/>
    </row>
    <row r="38" spans="1:22" ht="18">
      <c r="A38" s="9" t="s">
        <v>68</v>
      </c>
      <c r="B38" s="29">
        <v>1170000000</v>
      </c>
      <c r="C38" s="71">
        <f>SUM(C39:C40)</f>
        <v>0</v>
      </c>
      <c r="D38" s="71">
        <f aca="true" t="shared" si="14" ref="D38:R38">SUM(D39:D40)</f>
        <v>0</v>
      </c>
      <c r="E38" s="71">
        <f t="shared" si="14"/>
        <v>0</v>
      </c>
      <c r="F38" s="71">
        <f t="shared" si="14"/>
        <v>0</v>
      </c>
      <c r="G38" s="71">
        <f>SUM(G39:G40)</f>
        <v>0</v>
      </c>
      <c r="H38" s="71">
        <f t="shared" si="14"/>
        <v>0</v>
      </c>
      <c r="I38" s="65">
        <f t="shared" si="4"/>
        <v>0</v>
      </c>
      <c r="J38" s="65">
        <f t="shared" si="5"/>
        <v>0</v>
      </c>
      <c r="K38" s="71">
        <f>SUM(K39:K40)</f>
        <v>0</v>
      </c>
      <c r="L38" s="65">
        <f t="shared" si="1"/>
        <v>0</v>
      </c>
      <c r="M38" s="71">
        <f>SUM(M39:M40)</f>
        <v>0</v>
      </c>
      <c r="N38" s="71">
        <f>SUM(N39:N40)</f>
        <v>0</v>
      </c>
      <c r="O38" s="71">
        <f t="shared" si="14"/>
        <v>0</v>
      </c>
      <c r="P38" s="71">
        <f t="shared" si="14"/>
        <v>0</v>
      </c>
      <c r="Q38" s="71">
        <f>SUM(Q39:Q40)</f>
        <v>0</v>
      </c>
      <c r="R38" s="71">
        <f t="shared" si="14"/>
        <v>0</v>
      </c>
      <c r="V38" s="164"/>
    </row>
    <row r="39" spans="1:22" ht="18">
      <c r="A39" s="13" t="s">
        <v>8</v>
      </c>
      <c r="B39" s="13">
        <v>1170103003</v>
      </c>
      <c r="C39" s="70"/>
      <c r="D39" s="70"/>
      <c r="E39" s="66">
        <f>C39+D39</f>
        <v>0</v>
      </c>
      <c r="F39" s="66"/>
      <c r="G39" s="70"/>
      <c r="H39" s="67">
        <f>G39+M39</f>
        <v>0</v>
      </c>
      <c r="I39" s="69">
        <f t="shared" si="4"/>
        <v>0</v>
      </c>
      <c r="J39" s="69">
        <f t="shared" si="5"/>
        <v>0</v>
      </c>
      <c r="K39" s="70"/>
      <c r="L39" s="69">
        <f t="shared" si="1"/>
        <v>0</v>
      </c>
      <c r="M39" s="70"/>
      <c r="N39" s="70"/>
      <c r="O39" s="69">
        <f aca="true" t="shared" si="15" ref="O39:O47">IF(N39&gt;0,M39/N39,0)</f>
        <v>0</v>
      </c>
      <c r="P39" s="76"/>
      <c r="Q39" s="76"/>
      <c r="R39" s="76"/>
      <c r="V39" s="164"/>
    </row>
    <row r="40" spans="1:22" ht="18">
      <c r="A40" s="13" t="s">
        <v>33</v>
      </c>
      <c r="B40" s="13">
        <v>1170505013</v>
      </c>
      <c r="C40" s="70"/>
      <c r="D40" s="67"/>
      <c r="E40" s="66">
        <f>C40+D40</f>
        <v>0</v>
      </c>
      <c r="F40" s="66"/>
      <c r="G40" s="70"/>
      <c r="H40" s="68">
        <f>G40+M40</f>
        <v>0</v>
      </c>
      <c r="I40" s="69">
        <f>IF(E40&gt;0,H40/E40,0)</f>
        <v>0</v>
      </c>
      <c r="J40" s="69">
        <f>IF(F40&gt;0,H40/F40,0)</f>
        <v>0</v>
      </c>
      <c r="K40" s="70"/>
      <c r="L40" s="69">
        <f>IF(K40&gt;0,H40/K40,0)</f>
        <v>0</v>
      </c>
      <c r="M40" s="70"/>
      <c r="N40" s="70"/>
      <c r="O40" s="69">
        <f t="shared" si="15"/>
        <v>0</v>
      </c>
      <c r="P40" s="70"/>
      <c r="Q40" s="70"/>
      <c r="R40" s="70"/>
      <c r="V40" s="164"/>
    </row>
    <row r="41" spans="1:22" ht="18">
      <c r="A41" s="9" t="s">
        <v>6</v>
      </c>
      <c r="B41" s="9">
        <v>1000000000</v>
      </c>
      <c r="C41" s="77">
        <f aca="true" t="shared" si="16" ref="C41:H41">C5+C23</f>
        <v>10646.727</v>
      </c>
      <c r="D41" s="77">
        <f t="shared" si="16"/>
        <v>0</v>
      </c>
      <c r="E41" s="77">
        <f t="shared" si="16"/>
        <v>10646.727</v>
      </c>
      <c r="F41" s="78">
        <f t="shared" si="16"/>
        <v>0</v>
      </c>
      <c r="G41" s="78">
        <f>G5+G23</f>
        <v>3644.9</v>
      </c>
      <c r="H41" s="78">
        <f t="shared" si="16"/>
        <v>4369.6</v>
      </c>
      <c r="I41" s="79">
        <f t="shared" si="4"/>
        <v>0.41041721084799115</v>
      </c>
      <c r="J41" s="79">
        <f t="shared" si="5"/>
        <v>0</v>
      </c>
      <c r="K41" s="78">
        <f>K5+K23</f>
        <v>3901.0000000000005</v>
      </c>
      <c r="L41" s="79">
        <f t="shared" si="1"/>
        <v>1.1201230453729814</v>
      </c>
      <c r="M41" s="78">
        <f>M5+M23</f>
        <v>724.6999999999999</v>
      </c>
      <c r="N41" s="78">
        <f>N5+N23</f>
        <v>673</v>
      </c>
      <c r="O41" s="79">
        <f t="shared" si="15"/>
        <v>1.076820208023774</v>
      </c>
      <c r="P41" s="78">
        <f>P5+P23</f>
        <v>622.5</v>
      </c>
      <c r="Q41" s="78">
        <f>Q5+Q23</f>
        <v>385.20000000000005</v>
      </c>
      <c r="R41" s="122">
        <f>R5+R23</f>
        <v>417.9</v>
      </c>
      <c r="V41" s="164"/>
    </row>
    <row r="42" spans="1:22" ht="18">
      <c r="A42" s="9" t="s">
        <v>91</v>
      </c>
      <c r="B42" s="9"/>
      <c r="C42" s="77">
        <f aca="true" t="shared" si="17" ref="C42:H42">C41-C10</f>
        <v>9233</v>
      </c>
      <c r="D42" s="77">
        <f t="shared" si="17"/>
        <v>-147.017</v>
      </c>
      <c r="E42" s="77">
        <f t="shared" si="17"/>
        <v>9085.983</v>
      </c>
      <c r="F42" s="78">
        <f t="shared" si="17"/>
        <v>0</v>
      </c>
      <c r="G42" s="78">
        <f>G41-G10</f>
        <v>3093.8</v>
      </c>
      <c r="H42" s="78">
        <f t="shared" si="17"/>
        <v>3705.4000000000005</v>
      </c>
      <c r="I42" s="79">
        <f>IF(E42&gt;0,H42/E42,0)</f>
        <v>0.40781498270467825</v>
      </c>
      <c r="J42" s="79">
        <f>IF(F42&gt;0,H42/F42,0)</f>
        <v>0</v>
      </c>
      <c r="K42" s="78">
        <f>K41-K10</f>
        <v>3325.8000000000006</v>
      </c>
      <c r="L42" s="79">
        <f t="shared" si="1"/>
        <v>1.1141379517710024</v>
      </c>
      <c r="M42" s="78">
        <f>M41-M10</f>
        <v>611.5999999999999</v>
      </c>
      <c r="N42" s="78">
        <f>N41-N10</f>
        <v>588.1</v>
      </c>
      <c r="O42" s="79">
        <f t="shared" si="15"/>
        <v>1.039959190613841</v>
      </c>
      <c r="P42" s="78"/>
      <c r="Q42" s="78"/>
      <c r="R42" s="122"/>
      <c r="V42" s="164"/>
    </row>
    <row r="43" spans="1:22" ht="18">
      <c r="A43" s="13" t="s">
        <v>36</v>
      </c>
      <c r="B43" s="13">
        <v>2000000000</v>
      </c>
      <c r="C43" s="82">
        <v>6048.7</v>
      </c>
      <c r="D43" s="82">
        <f>-2600+160</f>
        <v>-2440</v>
      </c>
      <c r="E43" s="163">
        <f>C43+D43</f>
        <v>3608.7</v>
      </c>
      <c r="F43" s="66"/>
      <c r="G43" s="70">
        <v>388.8</v>
      </c>
      <c r="H43" s="67">
        <f>G43+M43</f>
        <v>956.2</v>
      </c>
      <c r="I43" s="69">
        <f t="shared" si="4"/>
        <v>0.26497076509546375</v>
      </c>
      <c r="J43" s="69">
        <f t="shared" si="5"/>
        <v>0</v>
      </c>
      <c r="K43" s="70">
        <v>2344.9</v>
      </c>
      <c r="L43" s="69">
        <f t="shared" si="1"/>
        <v>0.4077785833084567</v>
      </c>
      <c r="M43" s="70">
        <v>567.4</v>
      </c>
      <c r="N43" s="70">
        <v>2018.1</v>
      </c>
      <c r="O43" s="69">
        <f t="shared" si="15"/>
        <v>0.2811555423418067</v>
      </c>
      <c r="P43" s="70"/>
      <c r="Q43" s="70"/>
      <c r="R43" s="70"/>
      <c r="V43" s="164"/>
    </row>
    <row r="44" spans="1:22" ht="18">
      <c r="A44" s="13" t="s">
        <v>45</v>
      </c>
      <c r="B44" s="33" t="s">
        <v>94</v>
      </c>
      <c r="C44" s="70"/>
      <c r="D44" s="82"/>
      <c r="E44" s="66">
        <f>C44+D44</f>
        <v>0</v>
      </c>
      <c r="F44" s="66"/>
      <c r="G44" s="70"/>
      <c r="H44" s="67">
        <f>G44+M44</f>
        <v>0</v>
      </c>
      <c r="I44" s="69">
        <f>IF(E44&gt;0,H44/E44,0)</f>
        <v>0</v>
      </c>
      <c r="J44" s="69">
        <f>IF(F44&gt;0,H44/F44,0)</f>
        <v>0</v>
      </c>
      <c r="K44" s="70">
        <v>313.6</v>
      </c>
      <c r="L44" s="69">
        <f t="shared" si="1"/>
        <v>0</v>
      </c>
      <c r="M44" s="70"/>
      <c r="N44" s="70"/>
      <c r="O44" s="69">
        <f t="shared" si="15"/>
        <v>0</v>
      </c>
      <c r="P44" s="70"/>
      <c r="Q44" s="70"/>
      <c r="R44" s="70"/>
      <c r="V44" s="164"/>
    </row>
    <row r="45" spans="1:22" ht="1.5" customHeight="1">
      <c r="A45" s="8" t="s">
        <v>107</v>
      </c>
      <c r="B45" s="155" t="s">
        <v>110</v>
      </c>
      <c r="C45" s="70"/>
      <c r="D45" s="82"/>
      <c r="E45" s="66">
        <f>C45+D45</f>
        <v>0</v>
      </c>
      <c r="F45" s="66"/>
      <c r="G45" s="67"/>
      <c r="H45" s="67">
        <f>G45+M45</f>
        <v>0</v>
      </c>
      <c r="I45" s="69">
        <f>IF(E45&gt;0,H45/E45,0)</f>
        <v>0</v>
      </c>
      <c r="J45" s="69"/>
      <c r="K45" s="67"/>
      <c r="L45" s="69"/>
      <c r="M45" s="67"/>
      <c r="N45" s="67"/>
      <c r="O45" s="69"/>
      <c r="P45" s="70"/>
      <c r="Q45" s="70"/>
      <c r="R45" s="70"/>
      <c r="V45" s="164"/>
    </row>
    <row r="46" spans="1:22" ht="24" customHeight="1">
      <c r="A46" s="8" t="s">
        <v>92</v>
      </c>
      <c r="B46" s="45" t="s">
        <v>106</v>
      </c>
      <c r="C46" s="70"/>
      <c r="D46" s="81"/>
      <c r="E46" s="66">
        <f>C46+D46</f>
        <v>0</v>
      </c>
      <c r="F46" s="66"/>
      <c r="G46" s="70"/>
      <c r="H46" s="67">
        <f>G46+M46</f>
        <v>0</v>
      </c>
      <c r="I46" s="69"/>
      <c r="J46" s="69"/>
      <c r="K46" s="70"/>
      <c r="L46" s="69"/>
      <c r="M46" s="70"/>
      <c r="N46" s="70"/>
      <c r="O46" s="69"/>
      <c r="P46" s="70"/>
      <c r="Q46" s="70"/>
      <c r="R46" s="70"/>
      <c r="V46" s="164"/>
    </row>
    <row r="47" spans="1:22" ht="18">
      <c r="A47" s="9" t="s">
        <v>2</v>
      </c>
      <c r="B47" s="9"/>
      <c r="C47" s="77">
        <f>C41+C43+C44</f>
        <v>16695.427</v>
      </c>
      <c r="D47" s="77">
        <f>D41+D43+D44+D46+D45</f>
        <v>-2440</v>
      </c>
      <c r="E47" s="77">
        <f>E41+E43+E44+E46+E45</f>
        <v>14255.427</v>
      </c>
      <c r="F47" s="78">
        <f>F41+F43+F44</f>
        <v>0</v>
      </c>
      <c r="G47" s="78">
        <f>G41+G43+G44+G46+G45</f>
        <v>4033.7000000000003</v>
      </c>
      <c r="H47" s="78">
        <f>H41+H43+H44+H46+H45</f>
        <v>5325.8</v>
      </c>
      <c r="I47" s="79">
        <f t="shared" si="4"/>
        <v>0.373598069002072</v>
      </c>
      <c r="J47" s="79">
        <f t="shared" si="5"/>
        <v>0</v>
      </c>
      <c r="K47" s="78">
        <f>K41+K43+K44+K45+K46</f>
        <v>6559.500000000001</v>
      </c>
      <c r="L47" s="79">
        <f t="shared" si="1"/>
        <v>0.8119216403689304</v>
      </c>
      <c r="M47" s="78">
        <f>M41+M43+M44+M46+M45</f>
        <v>1292.1</v>
      </c>
      <c r="N47" s="78">
        <f>N41+N43+N44+N46+N45</f>
        <v>2691.1</v>
      </c>
      <c r="O47" s="79">
        <f t="shared" si="15"/>
        <v>0.4801382334361413</v>
      </c>
      <c r="P47" s="78">
        <f>P41+P43+P44</f>
        <v>622.5</v>
      </c>
      <c r="Q47" s="78">
        <f>Q41+Q43+Q44</f>
        <v>385.20000000000005</v>
      </c>
      <c r="R47" s="78">
        <f>R41+R43+R44</f>
        <v>417.9</v>
      </c>
      <c r="V47" s="164"/>
    </row>
  </sheetData>
  <sheetProtection/>
  <mergeCells count="15">
    <mergeCell ref="K3:L3"/>
    <mergeCell ref="F3:F4"/>
    <mergeCell ref="H3:J3"/>
    <mergeCell ref="N3:N4"/>
    <mergeCell ref="O3:O4"/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</mergeCells>
  <printOptions/>
  <pageMargins left="0.75" right="0.75" top="1" bottom="1" header="0.5" footer="0.5"/>
  <pageSetup fitToWidth="0" fitToHeight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5.253906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5"/>
      <c r="B1" s="47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8"/>
      <c r="O1" s="48"/>
      <c r="P1" s="25"/>
      <c r="Q1" s="25"/>
      <c r="R1" s="25"/>
    </row>
    <row r="2" spans="1:18" ht="15.75">
      <c r="A2" s="25"/>
      <c r="B2" s="190" t="s">
        <v>127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18" ht="18" customHeight="1">
      <c r="A3" s="191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8.25" customHeight="1">
      <c r="A4" s="192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</row>
    <row r="5" spans="1:18" ht="21" customHeight="1">
      <c r="A5" s="50" t="s">
        <v>21</v>
      </c>
      <c r="B5" s="51"/>
      <c r="C5" s="83">
        <f aca="true" t="shared" si="0" ref="C5:H5">C6+C15+C17+C22+C23+C10</f>
        <v>1366.5</v>
      </c>
      <c r="D5" s="83">
        <f t="shared" si="0"/>
        <v>0</v>
      </c>
      <c r="E5" s="83">
        <f t="shared" si="0"/>
        <v>1366.5</v>
      </c>
      <c r="F5" s="83" t="e">
        <f t="shared" si="0"/>
        <v>#REF!</v>
      </c>
      <c r="G5" s="83">
        <f t="shared" si="0"/>
        <v>337.29999999999995</v>
      </c>
      <c r="H5" s="83">
        <f t="shared" si="0"/>
        <v>405.79999999999995</v>
      </c>
      <c r="I5" s="63">
        <f aca="true" t="shared" si="1" ref="I5:I39">IF(E5&gt;0,H5/E5,0)</f>
        <v>0.29696304427369186</v>
      </c>
      <c r="J5" s="63" t="e">
        <f>IF(F5&gt;0,H5/F5,0)</f>
        <v>#REF!</v>
      </c>
      <c r="K5" s="83">
        <f>K6+K15+K17+K22+K23+K10</f>
        <v>713.3</v>
      </c>
      <c r="L5" s="63">
        <f>IF(K5&gt;0,H5/K5,0)</f>
        <v>0.5689050890228515</v>
      </c>
      <c r="M5" s="83">
        <f>M6+M15+M17+M22+M23+M10</f>
        <v>68.5</v>
      </c>
      <c r="N5" s="83">
        <f>N6+N15+N17+N22+N23+N10</f>
        <v>61.800000000000004</v>
      </c>
      <c r="O5" s="63">
        <f aca="true" t="shared" si="2" ref="O5:O31">IF(N5&gt;0,M5/N5,0)</f>
        <v>1.1084142394822005</v>
      </c>
      <c r="P5" s="83">
        <f>P6+P15+P17+P22+P23+P10</f>
        <v>20.4</v>
      </c>
      <c r="Q5" s="83">
        <f>Q6+Q15+Q17+Q22+Q23+Q10</f>
        <v>17.7</v>
      </c>
      <c r="R5" s="83">
        <f>R6+R15+R17+R22+R23+R10</f>
        <v>40.9</v>
      </c>
    </row>
    <row r="6" spans="1:19" ht="16.5" customHeight="1">
      <c r="A6" s="9" t="s">
        <v>62</v>
      </c>
      <c r="B6" s="52">
        <v>1010200001</v>
      </c>
      <c r="C6" s="84">
        <f>C7+C8+C9</f>
        <v>396.9</v>
      </c>
      <c r="D6" s="84">
        <f>D7+D8+D9</f>
        <v>0</v>
      </c>
      <c r="E6" s="84">
        <f>E7+E8+E9</f>
        <v>396.9</v>
      </c>
      <c r="F6" s="84" t="e">
        <f>F7+F8+F9+#REF!</f>
        <v>#REF!</v>
      </c>
      <c r="G6" s="84">
        <f>G7+G8+G9</f>
        <v>157.7</v>
      </c>
      <c r="H6" s="84">
        <f>H7+H8+H9</f>
        <v>193.29999999999998</v>
      </c>
      <c r="I6" s="65">
        <f t="shared" si="1"/>
        <v>0.48702443940539175</v>
      </c>
      <c r="J6" s="65" t="e">
        <f>IF(F6&gt;0,H6/F6,0)</f>
        <v>#REF!</v>
      </c>
      <c r="K6" s="84">
        <f>K7+K8+K9</f>
        <v>204</v>
      </c>
      <c r="L6" s="65">
        <f aca="true" t="shared" si="3" ref="L6:L39">IF(K6&gt;0,H6/K6,0)</f>
        <v>0.9475490196078431</v>
      </c>
      <c r="M6" s="84">
        <f>M7+M8+M9</f>
        <v>35.6</v>
      </c>
      <c r="N6" s="84">
        <f>N7+N8+N9</f>
        <v>40.2</v>
      </c>
      <c r="O6" s="65">
        <f t="shared" si="2"/>
        <v>0.8855721393034826</v>
      </c>
      <c r="P6" s="84">
        <f>P7+P8+P9</f>
        <v>0.7</v>
      </c>
      <c r="Q6" s="84">
        <f>Q7+Q8+Q9</f>
        <v>0.7</v>
      </c>
      <c r="R6" s="84">
        <f>R7+R8+R9</f>
        <v>0.7</v>
      </c>
      <c r="S6" s="25"/>
    </row>
    <row r="7" spans="1:19" ht="18">
      <c r="A7" s="10" t="s">
        <v>43</v>
      </c>
      <c r="B7" s="13">
        <v>1010201001</v>
      </c>
      <c r="C7" s="70">
        <v>396</v>
      </c>
      <c r="D7" s="67"/>
      <c r="E7" s="66">
        <f>C7+D7</f>
        <v>396</v>
      </c>
      <c r="F7" s="66"/>
      <c r="G7" s="67">
        <v>157.7</v>
      </c>
      <c r="H7" s="68">
        <f>G7+M7</f>
        <v>193.2</v>
      </c>
      <c r="I7" s="69">
        <f t="shared" si="1"/>
        <v>0.48787878787878786</v>
      </c>
      <c r="J7" s="69">
        <f aca="true" t="shared" si="4" ref="J7:J39">IF(F7&gt;0,H7/F7,0)</f>
        <v>0</v>
      </c>
      <c r="K7" s="67">
        <v>204</v>
      </c>
      <c r="L7" s="69">
        <f t="shared" si="3"/>
        <v>0.9470588235294117</v>
      </c>
      <c r="M7" s="67">
        <v>35.5</v>
      </c>
      <c r="N7" s="67">
        <v>40.2</v>
      </c>
      <c r="O7" s="69">
        <f t="shared" si="2"/>
        <v>0.8830845771144278</v>
      </c>
      <c r="P7" s="70">
        <v>0.3</v>
      </c>
      <c r="Q7" s="70">
        <v>0.3</v>
      </c>
      <c r="R7" s="70">
        <v>0.3</v>
      </c>
      <c r="S7" s="169"/>
    </row>
    <row r="8" spans="1:19" ht="18">
      <c r="A8" s="10" t="s">
        <v>42</v>
      </c>
      <c r="B8" s="13">
        <v>1010202001</v>
      </c>
      <c r="C8" s="70"/>
      <c r="D8" s="67"/>
      <c r="E8" s="66">
        <f>C8+D8</f>
        <v>0</v>
      </c>
      <c r="F8" s="66"/>
      <c r="G8" s="70"/>
      <c r="H8" s="68">
        <f>G8+M8</f>
        <v>0</v>
      </c>
      <c r="I8" s="69">
        <f t="shared" si="1"/>
        <v>0</v>
      </c>
      <c r="J8" s="69">
        <f t="shared" si="4"/>
        <v>0</v>
      </c>
      <c r="K8" s="70"/>
      <c r="L8" s="69">
        <f>IF(K8&gt;0,H8/K8,0)</f>
        <v>0</v>
      </c>
      <c r="M8" s="70"/>
      <c r="N8" s="70"/>
      <c r="O8" s="69">
        <f>IF(N8&gt;0,M8/N8,0)</f>
        <v>0</v>
      </c>
      <c r="P8" s="66"/>
      <c r="Q8" s="66"/>
      <c r="R8" s="66"/>
      <c r="S8" s="25"/>
    </row>
    <row r="9" spans="1:19" ht="21" customHeight="1">
      <c r="A9" s="10" t="s">
        <v>41</v>
      </c>
      <c r="B9" s="13">
        <v>1010203001</v>
      </c>
      <c r="C9" s="70">
        <v>0.9</v>
      </c>
      <c r="D9" s="70"/>
      <c r="E9" s="66">
        <f>C9+D9</f>
        <v>0.9</v>
      </c>
      <c r="F9" s="66"/>
      <c r="G9" s="70"/>
      <c r="H9" s="68">
        <f>G9+M9</f>
        <v>0.1</v>
      </c>
      <c r="I9" s="69">
        <f t="shared" si="1"/>
        <v>0.11111111111111112</v>
      </c>
      <c r="J9" s="69">
        <f t="shared" si="4"/>
        <v>0</v>
      </c>
      <c r="K9" s="70"/>
      <c r="L9" s="69">
        <f t="shared" si="3"/>
        <v>0</v>
      </c>
      <c r="M9" s="70">
        <v>0.1</v>
      </c>
      <c r="N9" s="70"/>
      <c r="O9" s="69">
        <f t="shared" si="2"/>
        <v>0</v>
      </c>
      <c r="P9" s="70">
        <v>0.4</v>
      </c>
      <c r="Q9" s="70">
        <v>0.4</v>
      </c>
      <c r="R9" s="70">
        <v>0.4</v>
      </c>
      <c r="S9" s="25"/>
    </row>
    <row r="10" spans="1:19" ht="30" customHeight="1">
      <c r="A10" s="11" t="s">
        <v>47</v>
      </c>
      <c r="B10" s="19">
        <v>1030200001</v>
      </c>
      <c r="C10" s="71">
        <f aca="true" t="shared" si="5" ref="C10:H10">SUM(C11:C14)</f>
        <v>383.59999999999997</v>
      </c>
      <c r="D10" s="71">
        <f t="shared" si="5"/>
        <v>0</v>
      </c>
      <c r="E10" s="71">
        <f t="shared" si="5"/>
        <v>383.59999999999997</v>
      </c>
      <c r="F10" s="71"/>
      <c r="G10" s="71">
        <f>SUM(G11:G14)</f>
        <v>149</v>
      </c>
      <c r="H10" s="71">
        <f t="shared" si="5"/>
        <v>179.6</v>
      </c>
      <c r="I10" s="65">
        <f t="shared" si="1"/>
        <v>0.46819603753910327</v>
      </c>
      <c r="J10" s="65">
        <f>IF(F10&gt;0,H10/F10,0)</f>
        <v>0</v>
      </c>
      <c r="K10" s="71">
        <f>SUM(K11:K14)</f>
        <v>145</v>
      </c>
      <c r="L10" s="65">
        <f t="shared" si="3"/>
        <v>1.2386206896551724</v>
      </c>
      <c r="M10" s="71">
        <f>SUM(M11:M14)</f>
        <v>30.6</v>
      </c>
      <c r="N10" s="71">
        <f>SUM(N11:N14)</f>
        <v>21.4</v>
      </c>
      <c r="O10" s="65">
        <f t="shared" si="2"/>
        <v>1.429906542056075</v>
      </c>
      <c r="P10" s="71">
        <f>SUM(P11:P14)</f>
        <v>0</v>
      </c>
      <c r="Q10" s="71">
        <f>SUM(Q11:Q14)</f>
        <v>0</v>
      </c>
      <c r="R10" s="71">
        <f>SUM(R11:R14)</f>
        <v>0</v>
      </c>
      <c r="S10" s="25"/>
    </row>
    <row r="11" spans="1:19" ht="22.5" customHeight="1">
      <c r="A11" s="12" t="s">
        <v>48</v>
      </c>
      <c r="B11" s="12">
        <v>1030223101</v>
      </c>
      <c r="C11" s="70">
        <v>176.1</v>
      </c>
      <c r="D11" s="70"/>
      <c r="E11" s="66">
        <f>C11+D11</f>
        <v>176.1</v>
      </c>
      <c r="F11" s="66"/>
      <c r="G11" s="70">
        <v>67.5</v>
      </c>
      <c r="H11" s="68">
        <f>G11+M11</f>
        <v>81.2</v>
      </c>
      <c r="I11" s="69">
        <f t="shared" si="1"/>
        <v>0.4611016467915957</v>
      </c>
      <c r="J11" s="69">
        <f>IF(F11&gt;0,H11/F11,0)</f>
        <v>0</v>
      </c>
      <c r="K11" s="70">
        <v>68.7</v>
      </c>
      <c r="L11" s="69">
        <f t="shared" si="3"/>
        <v>1.1819505094614264</v>
      </c>
      <c r="M11" s="70">
        <v>13.7</v>
      </c>
      <c r="N11" s="70">
        <v>10.6</v>
      </c>
      <c r="O11" s="69">
        <f t="shared" si="2"/>
        <v>1.2924528301886793</v>
      </c>
      <c r="P11" s="70"/>
      <c r="Q11" s="70"/>
      <c r="R11" s="70"/>
      <c r="S11" s="25"/>
    </row>
    <row r="12" spans="1:19" ht="18.75" customHeight="1">
      <c r="A12" s="12" t="s">
        <v>49</v>
      </c>
      <c r="B12" s="12">
        <v>1030224101</v>
      </c>
      <c r="C12" s="70">
        <v>1</v>
      </c>
      <c r="D12" s="70"/>
      <c r="E12" s="66">
        <f>C12+D12</f>
        <v>1</v>
      </c>
      <c r="F12" s="66"/>
      <c r="G12" s="70">
        <v>0.5</v>
      </c>
      <c r="H12" s="68">
        <f>G12+M12</f>
        <v>0.6</v>
      </c>
      <c r="I12" s="69">
        <f t="shared" si="1"/>
        <v>0.6</v>
      </c>
      <c r="J12" s="69">
        <f>IF(F12&gt;0,H12/F12,0)</f>
        <v>0</v>
      </c>
      <c r="K12" s="70">
        <v>0.5</v>
      </c>
      <c r="L12" s="69">
        <f t="shared" si="3"/>
        <v>1.2</v>
      </c>
      <c r="M12" s="70">
        <v>0.1</v>
      </c>
      <c r="N12" s="70">
        <v>0.1</v>
      </c>
      <c r="O12" s="69">
        <f t="shared" si="2"/>
        <v>1</v>
      </c>
      <c r="P12" s="70"/>
      <c r="Q12" s="70"/>
      <c r="R12" s="70"/>
      <c r="S12" s="25"/>
    </row>
    <row r="13" spans="1:19" ht="19.5" customHeight="1">
      <c r="A13" s="12" t="s">
        <v>50</v>
      </c>
      <c r="B13" s="12">
        <v>1030225101</v>
      </c>
      <c r="C13" s="70">
        <v>231.7</v>
      </c>
      <c r="D13" s="70"/>
      <c r="E13" s="66">
        <f>C13+D13</f>
        <v>231.7</v>
      </c>
      <c r="F13" s="66"/>
      <c r="G13" s="70">
        <v>92.7</v>
      </c>
      <c r="H13" s="68">
        <f>G13+M13</f>
        <v>112.9</v>
      </c>
      <c r="I13" s="69">
        <f t="shared" si="1"/>
        <v>0.48726801899007344</v>
      </c>
      <c r="J13" s="69">
        <f>IF(F13&gt;0,H13/F13,0)</f>
        <v>0</v>
      </c>
      <c r="K13" s="70">
        <v>89.5</v>
      </c>
      <c r="L13" s="69">
        <f t="shared" si="3"/>
        <v>1.2614525139664805</v>
      </c>
      <c r="M13" s="70">
        <v>20.2</v>
      </c>
      <c r="N13" s="70">
        <v>12.2</v>
      </c>
      <c r="O13" s="69">
        <f t="shared" si="2"/>
        <v>1.6557377049180328</v>
      </c>
      <c r="P13" s="70"/>
      <c r="Q13" s="70"/>
      <c r="R13" s="70"/>
      <c r="S13" s="25"/>
    </row>
    <row r="14" spans="1:19" ht="18.75" customHeight="1">
      <c r="A14" s="12" t="s">
        <v>51</v>
      </c>
      <c r="B14" s="12">
        <v>1030226101</v>
      </c>
      <c r="C14" s="70">
        <v>-25.2</v>
      </c>
      <c r="D14" s="70"/>
      <c r="E14" s="66">
        <f>C14+D14</f>
        <v>-25.2</v>
      </c>
      <c r="F14" s="66"/>
      <c r="G14" s="70">
        <v>-11.7</v>
      </c>
      <c r="H14" s="68">
        <f>G14+M14</f>
        <v>-15.1</v>
      </c>
      <c r="I14" s="69">
        <f>H14/E14</f>
        <v>0.5992063492063492</v>
      </c>
      <c r="J14" s="69">
        <f>IF(F14&gt;0,H14/F14,0)</f>
        <v>0</v>
      </c>
      <c r="K14" s="70">
        <v>-13.7</v>
      </c>
      <c r="L14" s="69">
        <f t="shared" si="3"/>
        <v>0</v>
      </c>
      <c r="M14" s="70">
        <v>-3.4</v>
      </c>
      <c r="N14" s="70">
        <v>-1.5</v>
      </c>
      <c r="O14" s="69">
        <f t="shared" si="2"/>
        <v>0</v>
      </c>
      <c r="P14" s="70"/>
      <c r="Q14" s="70"/>
      <c r="R14" s="70"/>
      <c r="S14" s="25"/>
    </row>
    <row r="15" spans="1:19" ht="18">
      <c r="A15" s="9" t="s">
        <v>69</v>
      </c>
      <c r="B15" s="29">
        <v>1050000000</v>
      </c>
      <c r="C15" s="71">
        <f aca="true" t="shared" si="6" ref="C15:H15">C16</f>
        <v>490</v>
      </c>
      <c r="D15" s="126">
        <f t="shared" si="6"/>
        <v>0</v>
      </c>
      <c r="E15" s="126">
        <f t="shared" si="6"/>
        <v>490</v>
      </c>
      <c r="F15" s="72">
        <f t="shared" si="6"/>
        <v>0</v>
      </c>
      <c r="G15" s="71">
        <f>G16</f>
        <v>-0.3</v>
      </c>
      <c r="H15" s="72">
        <f t="shared" si="6"/>
        <v>-0.3</v>
      </c>
      <c r="I15" s="65">
        <f t="shared" si="1"/>
        <v>-0.0006122448979591836</v>
      </c>
      <c r="J15" s="65">
        <f t="shared" si="4"/>
        <v>0</v>
      </c>
      <c r="K15" s="71">
        <f>K16</f>
        <v>347.1</v>
      </c>
      <c r="L15" s="65">
        <f t="shared" si="3"/>
        <v>-0.0008643042350907519</v>
      </c>
      <c r="M15" s="71">
        <f>M16</f>
        <v>0</v>
      </c>
      <c r="N15" s="71">
        <f>N16</f>
        <v>0</v>
      </c>
      <c r="O15" s="65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S15" s="25"/>
    </row>
    <row r="16" spans="1:19" ht="18">
      <c r="A16" s="13" t="s">
        <v>7</v>
      </c>
      <c r="B16" s="13">
        <v>1050300001</v>
      </c>
      <c r="C16" s="70">
        <v>490</v>
      </c>
      <c r="D16" s="82"/>
      <c r="E16" s="66">
        <f>C16+D16</f>
        <v>490</v>
      </c>
      <c r="F16" s="66">
        <f>1-1</f>
        <v>0</v>
      </c>
      <c r="G16" s="70">
        <v>-0.3</v>
      </c>
      <c r="H16" s="68">
        <f>G16+M16</f>
        <v>-0.3</v>
      </c>
      <c r="I16" s="69">
        <f t="shared" si="1"/>
        <v>-0.0006122448979591836</v>
      </c>
      <c r="J16" s="69">
        <f t="shared" si="4"/>
        <v>0</v>
      </c>
      <c r="K16" s="70">
        <v>347.1</v>
      </c>
      <c r="L16" s="69">
        <f t="shared" si="3"/>
        <v>-0.0008643042350907519</v>
      </c>
      <c r="M16" s="70"/>
      <c r="N16" s="70"/>
      <c r="O16" s="69">
        <f t="shared" si="2"/>
        <v>0</v>
      </c>
      <c r="P16" s="70"/>
      <c r="Q16" s="70"/>
      <c r="R16" s="70"/>
      <c r="S16" s="25"/>
    </row>
    <row r="17" spans="1:19" ht="18">
      <c r="A17" s="9" t="s">
        <v>70</v>
      </c>
      <c r="B17" s="29">
        <v>1060000000</v>
      </c>
      <c r="C17" s="71">
        <f aca="true" t="shared" si="7" ref="C17:H17">C18+C21</f>
        <v>95</v>
      </c>
      <c r="D17" s="124">
        <f t="shared" si="7"/>
        <v>0</v>
      </c>
      <c r="E17" s="72">
        <f t="shared" si="7"/>
        <v>95</v>
      </c>
      <c r="F17" s="72">
        <f t="shared" si="7"/>
        <v>0</v>
      </c>
      <c r="G17" s="71">
        <f>G18+G21</f>
        <v>29.2</v>
      </c>
      <c r="H17" s="72">
        <f t="shared" si="7"/>
        <v>31.5</v>
      </c>
      <c r="I17" s="65">
        <f t="shared" si="1"/>
        <v>0.33157894736842103</v>
      </c>
      <c r="J17" s="65">
        <f t="shared" si="4"/>
        <v>0</v>
      </c>
      <c r="K17" s="71">
        <f>K18+K21</f>
        <v>12.3</v>
      </c>
      <c r="L17" s="65">
        <f t="shared" si="3"/>
        <v>2.5609756097560976</v>
      </c>
      <c r="M17" s="71">
        <f>M18+M21</f>
        <v>2.3</v>
      </c>
      <c r="N17" s="71">
        <f>N18+N21</f>
        <v>0.2</v>
      </c>
      <c r="O17" s="65">
        <f t="shared" si="2"/>
        <v>11.499999999999998</v>
      </c>
      <c r="P17" s="71">
        <f>P18+P21</f>
        <v>19.7</v>
      </c>
      <c r="Q17" s="71">
        <f>Q18+Q21</f>
        <v>17</v>
      </c>
      <c r="R17" s="71">
        <f>R18+R21</f>
        <v>40.199999999999996</v>
      </c>
      <c r="S17" s="25"/>
    </row>
    <row r="18" spans="1:19" ht="18">
      <c r="A18" s="13" t="s">
        <v>13</v>
      </c>
      <c r="B18" s="13">
        <v>1060600000</v>
      </c>
      <c r="C18" s="73">
        <f aca="true" t="shared" si="8" ref="C18:H18">C19+C20</f>
        <v>80</v>
      </c>
      <c r="D18" s="73">
        <f t="shared" si="8"/>
        <v>0</v>
      </c>
      <c r="E18" s="67">
        <f t="shared" si="8"/>
        <v>80</v>
      </c>
      <c r="F18" s="67">
        <f t="shared" si="8"/>
        <v>0</v>
      </c>
      <c r="G18" s="73">
        <f>G19+G20</f>
        <v>29</v>
      </c>
      <c r="H18" s="67">
        <f t="shared" si="8"/>
        <v>29.9</v>
      </c>
      <c r="I18" s="69">
        <f t="shared" si="1"/>
        <v>0.37374999999999997</v>
      </c>
      <c r="J18" s="69">
        <f t="shared" si="4"/>
        <v>0</v>
      </c>
      <c r="K18" s="73">
        <f>K19+K20</f>
        <v>12</v>
      </c>
      <c r="L18" s="69">
        <f t="shared" si="3"/>
        <v>2.4916666666666667</v>
      </c>
      <c r="M18" s="73">
        <f>M19+M20</f>
        <v>0.9</v>
      </c>
      <c r="N18" s="73">
        <f>N19+N20</f>
        <v>0</v>
      </c>
      <c r="O18" s="69">
        <f t="shared" si="2"/>
        <v>0</v>
      </c>
      <c r="P18" s="70">
        <f>P19+P20</f>
        <v>16.4</v>
      </c>
      <c r="Q18" s="70">
        <f>Q19+Q20</f>
        <v>13.8</v>
      </c>
      <c r="R18" s="70">
        <f>R19+R20</f>
        <v>38.4</v>
      </c>
      <c r="S18" s="25"/>
    </row>
    <row r="19" spans="1:19" ht="18">
      <c r="A19" s="13" t="s">
        <v>99</v>
      </c>
      <c r="B19" s="13">
        <v>1060603310</v>
      </c>
      <c r="C19" s="70">
        <v>30</v>
      </c>
      <c r="D19" s="67"/>
      <c r="E19" s="66">
        <f>C19+D19</f>
        <v>30</v>
      </c>
      <c r="F19" s="66"/>
      <c r="G19" s="70">
        <v>26.3</v>
      </c>
      <c r="H19" s="68">
        <f>G19+M19</f>
        <v>26.2</v>
      </c>
      <c r="I19" s="69">
        <f t="shared" si="1"/>
        <v>0.8733333333333333</v>
      </c>
      <c r="J19" s="69">
        <f t="shared" si="4"/>
        <v>0</v>
      </c>
      <c r="K19" s="70">
        <v>8.1</v>
      </c>
      <c r="L19" s="69">
        <f t="shared" si="3"/>
        <v>3.234567901234568</v>
      </c>
      <c r="M19" s="70">
        <v>-0.1</v>
      </c>
      <c r="N19" s="70"/>
      <c r="O19" s="69">
        <f t="shared" si="2"/>
        <v>0</v>
      </c>
      <c r="P19" s="70"/>
      <c r="Q19" s="70"/>
      <c r="R19" s="70">
        <v>25.3</v>
      </c>
      <c r="S19" s="25"/>
    </row>
    <row r="20" spans="1:20" ht="18">
      <c r="A20" s="13" t="s">
        <v>100</v>
      </c>
      <c r="B20" s="13">
        <v>1060604310</v>
      </c>
      <c r="C20" s="70">
        <v>50</v>
      </c>
      <c r="D20" s="67"/>
      <c r="E20" s="66">
        <f>C20+D20</f>
        <v>50</v>
      </c>
      <c r="F20" s="66"/>
      <c r="G20" s="70">
        <v>2.7</v>
      </c>
      <c r="H20" s="68">
        <f>G20+M20</f>
        <v>3.7</v>
      </c>
      <c r="I20" s="69">
        <f t="shared" si="1"/>
        <v>0.07400000000000001</v>
      </c>
      <c r="J20" s="69">
        <f t="shared" si="4"/>
        <v>0</v>
      </c>
      <c r="K20" s="70">
        <v>3.9</v>
      </c>
      <c r="L20" s="69">
        <f t="shared" si="3"/>
        <v>0.9487179487179488</v>
      </c>
      <c r="M20" s="70">
        <v>1</v>
      </c>
      <c r="N20" s="70"/>
      <c r="O20" s="69">
        <f t="shared" si="2"/>
        <v>0</v>
      </c>
      <c r="P20" s="70">
        <v>16.4</v>
      </c>
      <c r="Q20" s="70">
        <v>13.8</v>
      </c>
      <c r="R20" s="70">
        <v>13.1</v>
      </c>
      <c r="S20" s="170"/>
      <c r="T20" s="156"/>
    </row>
    <row r="21" spans="1:20" ht="18">
      <c r="A21" s="13" t="s">
        <v>12</v>
      </c>
      <c r="B21" s="13">
        <v>1060103010</v>
      </c>
      <c r="C21" s="70">
        <v>15</v>
      </c>
      <c r="D21" s="67"/>
      <c r="E21" s="66">
        <f>C21+D21</f>
        <v>15</v>
      </c>
      <c r="F21" s="66"/>
      <c r="G21" s="70">
        <v>0.2</v>
      </c>
      <c r="H21" s="68">
        <f>G21+M21</f>
        <v>1.5999999999999999</v>
      </c>
      <c r="I21" s="69">
        <f t="shared" si="1"/>
        <v>0.10666666666666666</v>
      </c>
      <c r="J21" s="69">
        <f t="shared" si="4"/>
        <v>0</v>
      </c>
      <c r="K21" s="70">
        <v>0.3</v>
      </c>
      <c r="L21" s="69">
        <f t="shared" si="3"/>
        <v>5.333333333333333</v>
      </c>
      <c r="M21" s="70">
        <v>1.4</v>
      </c>
      <c r="N21" s="70">
        <v>0.2</v>
      </c>
      <c r="O21" s="69">
        <f t="shared" si="2"/>
        <v>6.999999999999999</v>
      </c>
      <c r="P21" s="70">
        <v>3.3</v>
      </c>
      <c r="Q21" s="70">
        <v>3.2</v>
      </c>
      <c r="R21" s="70">
        <v>1.8</v>
      </c>
      <c r="S21" s="170"/>
      <c r="T21" s="156"/>
    </row>
    <row r="22" spans="1:19" ht="18">
      <c r="A22" s="29" t="s">
        <v>71</v>
      </c>
      <c r="B22" s="29">
        <v>1080402001</v>
      </c>
      <c r="C22" s="71">
        <v>1</v>
      </c>
      <c r="D22" s="72"/>
      <c r="E22" s="64">
        <f>C22+D22</f>
        <v>1</v>
      </c>
      <c r="F22" s="64"/>
      <c r="G22" s="71">
        <v>1.7</v>
      </c>
      <c r="H22" s="74">
        <f>G22+M22</f>
        <v>1.7</v>
      </c>
      <c r="I22" s="65">
        <f t="shared" si="1"/>
        <v>1.7</v>
      </c>
      <c r="J22" s="65">
        <f t="shared" si="4"/>
        <v>0</v>
      </c>
      <c r="K22" s="71">
        <v>4.9</v>
      </c>
      <c r="L22" s="65">
        <f t="shared" si="3"/>
        <v>0.346938775510204</v>
      </c>
      <c r="M22" s="71"/>
      <c r="N22" s="71"/>
      <c r="O22" s="65">
        <f t="shared" si="2"/>
        <v>0</v>
      </c>
      <c r="P22" s="71"/>
      <c r="Q22" s="71"/>
      <c r="R22" s="71"/>
      <c r="S22" s="25"/>
    </row>
    <row r="23" spans="1:19" ht="2.25" customHeight="1" hidden="1">
      <c r="A23" s="29" t="s">
        <v>72</v>
      </c>
      <c r="B23" s="29">
        <v>1090405010</v>
      </c>
      <c r="C23" s="71"/>
      <c r="D23" s="71"/>
      <c r="E23" s="64">
        <f>C23+D23</f>
        <v>0</v>
      </c>
      <c r="F23" s="64"/>
      <c r="G23" s="71"/>
      <c r="H23" s="74">
        <f>G23+M23</f>
        <v>0</v>
      </c>
      <c r="I23" s="65">
        <f t="shared" si="1"/>
        <v>0</v>
      </c>
      <c r="J23" s="65">
        <f t="shared" si="4"/>
        <v>0</v>
      </c>
      <c r="K23" s="71"/>
      <c r="L23" s="65">
        <f t="shared" si="3"/>
        <v>0</v>
      </c>
      <c r="M23" s="71"/>
      <c r="N23" s="71"/>
      <c r="O23" s="65">
        <f t="shared" si="2"/>
        <v>0</v>
      </c>
      <c r="P23" s="71"/>
      <c r="Q23" s="71"/>
      <c r="R23" s="71"/>
      <c r="S23" s="25"/>
    </row>
    <row r="24" spans="1:19" ht="18">
      <c r="A24" s="14" t="s">
        <v>22</v>
      </c>
      <c r="B24" s="31"/>
      <c r="C24" s="85">
        <f aca="true" t="shared" si="9" ref="C24:H24">C25+C28+C32+C29+C31+C30</f>
        <v>142</v>
      </c>
      <c r="D24" s="149">
        <f t="shared" si="9"/>
        <v>0</v>
      </c>
      <c r="E24" s="149">
        <f t="shared" si="9"/>
        <v>142</v>
      </c>
      <c r="F24" s="85">
        <f t="shared" si="9"/>
        <v>0</v>
      </c>
      <c r="G24" s="85">
        <f>G25+G28+G32+G29+G31+G30</f>
        <v>135.7</v>
      </c>
      <c r="H24" s="85">
        <f t="shared" si="9"/>
        <v>202.89999999999998</v>
      </c>
      <c r="I24" s="63">
        <f t="shared" si="1"/>
        <v>1.4288732394366195</v>
      </c>
      <c r="J24" s="63">
        <f t="shared" si="4"/>
        <v>0</v>
      </c>
      <c r="K24" s="85">
        <f>K25+K28+K32+K29+K31+K30</f>
        <v>160.5</v>
      </c>
      <c r="L24" s="63">
        <f t="shared" si="3"/>
        <v>1.2641744548286602</v>
      </c>
      <c r="M24" s="85">
        <f>M25+M28+M32+M29+M31+M30</f>
        <v>67.2</v>
      </c>
      <c r="N24" s="85">
        <f>N25+N28+N32+N29+N31+N30</f>
        <v>48.800000000000004</v>
      </c>
      <c r="O24" s="63">
        <f t="shared" si="2"/>
        <v>1.3770491803278688</v>
      </c>
      <c r="P24" s="75">
        <f>P25+P28+P31</f>
        <v>0</v>
      </c>
      <c r="Q24" s="75">
        <f>Q25+Q28+Q31</f>
        <v>0</v>
      </c>
      <c r="R24" s="75">
        <f>R25+R28+R31</f>
        <v>0</v>
      </c>
      <c r="S24" s="25"/>
    </row>
    <row r="25" spans="1:19" ht="18">
      <c r="A25" s="9" t="s">
        <v>73</v>
      </c>
      <c r="B25" s="29">
        <v>1110000000</v>
      </c>
      <c r="C25" s="71">
        <f aca="true" t="shared" si="10" ref="C25:H25">C26+C27</f>
        <v>24</v>
      </c>
      <c r="D25" s="71">
        <f t="shared" si="10"/>
        <v>0</v>
      </c>
      <c r="E25" s="71">
        <f t="shared" si="10"/>
        <v>24</v>
      </c>
      <c r="F25" s="71">
        <f t="shared" si="10"/>
        <v>0</v>
      </c>
      <c r="G25" s="71">
        <f>G26+G27</f>
        <v>6.9</v>
      </c>
      <c r="H25" s="71">
        <f t="shared" si="10"/>
        <v>14.7</v>
      </c>
      <c r="I25" s="86">
        <f t="shared" si="1"/>
        <v>0.6124999999999999</v>
      </c>
      <c r="J25" s="86">
        <f t="shared" si="4"/>
        <v>0</v>
      </c>
      <c r="K25" s="71">
        <f>K26+K27</f>
        <v>11.4</v>
      </c>
      <c r="L25" s="86">
        <f t="shared" si="3"/>
        <v>1.289473684210526</v>
      </c>
      <c r="M25" s="71">
        <f>M26+M27</f>
        <v>7.8</v>
      </c>
      <c r="N25" s="71">
        <f>N26+N27</f>
        <v>7</v>
      </c>
      <c r="O25" s="86">
        <f t="shared" si="2"/>
        <v>1.1142857142857143</v>
      </c>
      <c r="P25" s="71">
        <f>P26+P27</f>
        <v>0</v>
      </c>
      <c r="Q25" s="71">
        <f>Q26+Q27</f>
        <v>0</v>
      </c>
      <c r="R25" s="71">
        <f>R26+R27</f>
        <v>0</v>
      </c>
      <c r="S25" s="25"/>
    </row>
    <row r="26" spans="1:19" ht="3" customHeight="1" hidden="1">
      <c r="A26" s="13" t="s">
        <v>26</v>
      </c>
      <c r="B26" s="13">
        <v>1110501013</v>
      </c>
      <c r="C26" s="70"/>
      <c r="D26" s="67"/>
      <c r="E26" s="70">
        <f>C26+D26</f>
        <v>0</v>
      </c>
      <c r="F26" s="70"/>
      <c r="G26" s="70"/>
      <c r="H26" s="67">
        <f aca="true" t="shared" si="11" ref="H26:H31">G26+M26</f>
        <v>0</v>
      </c>
      <c r="I26" s="76">
        <f t="shared" si="1"/>
        <v>0</v>
      </c>
      <c r="J26" s="76">
        <f t="shared" si="4"/>
        <v>0</v>
      </c>
      <c r="K26" s="70"/>
      <c r="L26" s="76">
        <f t="shared" si="3"/>
        <v>0</v>
      </c>
      <c r="M26" s="70"/>
      <c r="N26" s="70"/>
      <c r="O26" s="76">
        <f t="shared" si="2"/>
        <v>0</v>
      </c>
      <c r="P26" s="70"/>
      <c r="Q26" s="70"/>
      <c r="R26" s="70"/>
      <c r="S26" s="25"/>
    </row>
    <row r="27" spans="1:19" ht="18">
      <c r="A27" s="32" t="s">
        <v>23</v>
      </c>
      <c r="B27" s="13">
        <v>1110904510</v>
      </c>
      <c r="C27" s="70">
        <v>24</v>
      </c>
      <c r="D27" s="82"/>
      <c r="E27" s="70">
        <f>C27+D27</f>
        <v>24</v>
      </c>
      <c r="F27" s="70"/>
      <c r="G27" s="70">
        <v>6.9</v>
      </c>
      <c r="H27" s="67">
        <f t="shared" si="11"/>
        <v>14.7</v>
      </c>
      <c r="I27" s="76">
        <f t="shared" si="1"/>
        <v>0.6124999999999999</v>
      </c>
      <c r="J27" s="76">
        <f t="shared" si="4"/>
        <v>0</v>
      </c>
      <c r="K27" s="70">
        <v>11.4</v>
      </c>
      <c r="L27" s="76">
        <f t="shared" si="3"/>
        <v>1.289473684210526</v>
      </c>
      <c r="M27" s="70">
        <v>7.8</v>
      </c>
      <c r="N27" s="70">
        <v>7</v>
      </c>
      <c r="O27" s="76">
        <f t="shared" si="2"/>
        <v>1.1142857142857143</v>
      </c>
      <c r="P27" s="70"/>
      <c r="Q27" s="70"/>
      <c r="R27" s="70"/>
      <c r="S27" s="25"/>
    </row>
    <row r="28" spans="1:19" ht="18">
      <c r="A28" s="9" t="s">
        <v>38</v>
      </c>
      <c r="B28" s="29">
        <v>1130299510</v>
      </c>
      <c r="C28" s="71">
        <v>118</v>
      </c>
      <c r="D28" s="71"/>
      <c r="E28" s="71">
        <f>C28+D28</f>
        <v>118</v>
      </c>
      <c r="F28" s="71"/>
      <c r="G28" s="71">
        <v>128.7</v>
      </c>
      <c r="H28" s="72">
        <f t="shared" si="11"/>
        <v>188.1</v>
      </c>
      <c r="I28" s="86">
        <f t="shared" si="1"/>
        <v>1.5940677966101695</v>
      </c>
      <c r="J28" s="86">
        <f t="shared" si="4"/>
        <v>0</v>
      </c>
      <c r="K28" s="71">
        <v>148.9</v>
      </c>
      <c r="L28" s="86">
        <f t="shared" si="3"/>
        <v>1.2632639355271993</v>
      </c>
      <c r="M28" s="71">
        <v>59.4</v>
      </c>
      <c r="N28" s="71">
        <v>41.7</v>
      </c>
      <c r="O28" s="86">
        <f t="shared" si="2"/>
        <v>1.424460431654676</v>
      </c>
      <c r="P28" s="71"/>
      <c r="Q28" s="71"/>
      <c r="R28" s="71"/>
      <c r="S28" s="25"/>
    </row>
    <row r="29" spans="1:19" ht="18">
      <c r="A29" s="9" t="s">
        <v>74</v>
      </c>
      <c r="B29" s="29">
        <v>1140205310</v>
      </c>
      <c r="C29" s="71"/>
      <c r="D29" s="71"/>
      <c r="E29" s="71">
        <f>C29+D29</f>
        <v>0</v>
      </c>
      <c r="F29" s="71"/>
      <c r="G29" s="71"/>
      <c r="H29" s="72">
        <f t="shared" si="11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3"/>
        <v>0</v>
      </c>
      <c r="M29" s="71"/>
      <c r="N29" s="71"/>
      <c r="O29" s="86">
        <f t="shared" si="2"/>
        <v>0</v>
      </c>
      <c r="P29" s="71"/>
      <c r="Q29" s="71"/>
      <c r="R29" s="71"/>
      <c r="S29" s="25"/>
    </row>
    <row r="30" spans="1:19" ht="18">
      <c r="A30" s="9" t="s">
        <v>75</v>
      </c>
      <c r="B30" s="29">
        <v>1140601410</v>
      </c>
      <c r="C30" s="71"/>
      <c r="D30" s="71"/>
      <c r="E30" s="71"/>
      <c r="F30" s="71"/>
      <c r="G30" s="71"/>
      <c r="H30" s="72">
        <f t="shared" si="11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  <c r="S30" s="25"/>
    </row>
    <row r="31" spans="1:19" ht="18">
      <c r="A31" s="9" t="s">
        <v>76</v>
      </c>
      <c r="B31" s="29">
        <v>1169005010</v>
      </c>
      <c r="C31" s="71"/>
      <c r="D31" s="71"/>
      <c r="E31" s="72">
        <f>C31+D31</f>
        <v>0</v>
      </c>
      <c r="F31" s="72"/>
      <c r="G31" s="71"/>
      <c r="H31" s="72">
        <f t="shared" si="11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  <c r="S31" s="25"/>
    </row>
    <row r="32" spans="1:20" ht="18">
      <c r="A32" s="9" t="s">
        <v>68</v>
      </c>
      <c r="B32" s="29">
        <v>1170000000</v>
      </c>
      <c r="C32" s="71">
        <f>SUM(C33:C34)</f>
        <v>0</v>
      </c>
      <c r="D32" s="71">
        <f aca="true" t="shared" si="12" ref="D32:R32">SUM(D33:D34)</f>
        <v>0</v>
      </c>
      <c r="E32" s="71">
        <f t="shared" si="12"/>
        <v>0</v>
      </c>
      <c r="F32" s="71">
        <f t="shared" si="12"/>
        <v>0</v>
      </c>
      <c r="G32" s="71">
        <f>SUM(G33:G34)</f>
        <v>0.1</v>
      </c>
      <c r="H32" s="71">
        <f t="shared" si="12"/>
        <v>0.1</v>
      </c>
      <c r="I32" s="86">
        <f>IF(E32&gt;0,H32/E32,0)</f>
        <v>0</v>
      </c>
      <c r="J32" s="86">
        <f>IF(F32&gt;0,H32/F32,0)</f>
        <v>0</v>
      </c>
      <c r="K32" s="71">
        <f>SUM(K33:K34)</f>
        <v>0.2</v>
      </c>
      <c r="L32" s="86">
        <f t="shared" si="3"/>
        <v>0.5</v>
      </c>
      <c r="M32" s="71">
        <f>SUM(M33:M34)</f>
        <v>0</v>
      </c>
      <c r="N32" s="71">
        <f>SUM(N33:N34)</f>
        <v>0.1</v>
      </c>
      <c r="O32" s="71">
        <f t="shared" si="12"/>
        <v>0</v>
      </c>
      <c r="P32" s="71">
        <f t="shared" si="12"/>
        <v>0</v>
      </c>
      <c r="Q32" s="71">
        <f>SUM(Q33:Q34)</f>
        <v>0</v>
      </c>
      <c r="R32" s="71">
        <f t="shared" si="12"/>
        <v>0</v>
      </c>
      <c r="S32" s="171"/>
      <c r="T32" s="156"/>
    </row>
    <row r="33" spans="1:19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4"/>
        <v>0</v>
      </c>
      <c r="K33" s="70"/>
      <c r="L33" s="76">
        <f t="shared" si="3"/>
        <v>0</v>
      </c>
      <c r="M33" s="70"/>
      <c r="N33" s="70"/>
      <c r="O33" s="76">
        <f aca="true" t="shared" si="13" ref="O33:O39">IF(N33&gt;0,M33/N33,0)</f>
        <v>0</v>
      </c>
      <c r="P33" s="76"/>
      <c r="Q33" s="76"/>
      <c r="R33" s="76"/>
      <c r="S33" s="25"/>
    </row>
    <row r="34" spans="1:19" ht="18">
      <c r="A34" s="13" t="s">
        <v>33</v>
      </c>
      <c r="B34" s="13">
        <v>1170505010</v>
      </c>
      <c r="C34" s="70"/>
      <c r="D34" s="67"/>
      <c r="E34" s="70">
        <f>C34+D34</f>
        <v>0</v>
      </c>
      <c r="F34" s="70"/>
      <c r="G34" s="70">
        <v>0.1</v>
      </c>
      <c r="H34" s="67">
        <f>G34+M34</f>
        <v>0.1</v>
      </c>
      <c r="I34" s="76">
        <f>IF(E34&gt;0,H34/E34,0)</f>
        <v>0</v>
      </c>
      <c r="J34" s="76">
        <f>IF(F34&gt;0,H34/F34,0)</f>
        <v>0</v>
      </c>
      <c r="K34" s="70">
        <v>0.2</v>
      </c>
      <c r="L34" s="76">
        <f>IF(K34&gt;0,H34/K34,0)</f>
        <v>0.5</v>
      </c>
      <c r="M34" s="70"/>
      <c r="N34" s="70">
        <v>0.1</v>
      </c>
      <c r="O34" s="76">
        <f t="shared" si="13"/>
        <v>0</v>
      </c>
      <c r="P34" s="70"/>
      <c r="Q34" s="70"/>
      <c r="R34" s="70"/>
      <c r="S34" s="25"/>
    </row>
    <row r="35" spans="1:19" ht="18">
      <c r="A35" s="9" t="s">
        <v>6</v>
      </c>
      <c r="B35" s="9">
        <v>1000000000</v>
      </c>
      <c r="C35" s="77">
        <f aca="true" t="shared" si="14" ref="C35:H35">C5+C24</f>
        <v>1508.5</v>
      </c>
      <c r="D35" s="77">
        <f t="shared" si="14"/>
        <v>0</v>
      </c>
      <c r="E35" s="77">
        <f t="shared" si="14"/>
        <v>1508.5</v>
      </c>
      <c r="F35" s="78" t="e">
        <f t="shared" si="14"/>
        <v>#REF!</v>
      </c>
      <c r="G35" s="78">
        <f>G5+G24</f>
        <v>472.99999999999994</v>
      </c>
      <c r="H35" s="78">
        <f t="shared" si="14"/>
        <v>608.6999999999999</v>
      </c>
      <c r="I35" s="79">
        <f t="shared" si="1"/>
        <v>0.40351342393105727</v>
      </c>
      <c r="J35" s="79" t="e">
        <f t="shared" si="4"/>
        <v>#REF!</v>
      </c>
      <c r="K35" s="78">
        <f>K5+K24</f>
        <v>873.8</v>
      </c>
      <c r="L35" s="79">
        <f t="shared" si="3"/>
        <v>0.6966124971389334</v>
      </c>
      <c r="M35" s="78">
        <f>M5+M24</f>
        <v>135.7</v>
      </c>
      <c r="N35" s="78">
        <f>N5+N24</f>
        <v>110.60000000000001</v>
      </c>
      <c r="O35" s="79">
        <f t="shared" si="13"/>
        <v>1.2269439421338153</v>
      </c>
      <c r="P35" s="78">
        <f>P5+P24</f>
        <v>20.4</v>
      </c>
      <c r="Q35" s="78">
        <f>Q5+Q24</f>
        <v>17.7</v>
      </c>
      <c r="R35" s="78">
        <f>R5+R24</f>
        <v>40.9</v>
      </c>
      <c r="S35" s="25"/>
    </row>
    <row r="36" spans="1:19" ht="18">
      <c r="A36" s="9" t="s">
        <v>91</v>
      </c>
      <c r="B36" s="9"/>
      <c r="C36" s="78">
        <f aca="true" t="shared" si="15" ref="C36:H36">C35-C10</f>
        <v>1124.9</v>
      </c>
      <c r="D36" s="77">
        <f t="shared" si="15"/>
        <v>0</v>
      </c>
      <c r="E36" s="77">
        <f t="shared" si="15"/>
        <v>1124.9</v>
      </c>
      <c r="F36" s="78" t="e">
        <f t="shared" si="15"/>
        <v>#REF!</v>
      </c>
      <c r="G36" s="78">
        <f>G35-G10</f>
        <v>323.99999999999994</v>
      </c>
      <c r="H36" s="78">
        <f t="shared" si="15"/>
        <v>429.0999999999999</v>
      </c>
      <c r="I36" s="79">
        <f>IF(E36&gt;0,H36/E36,0)</f>
        <v>0.3814561294337273</v>
      </c>
      <c r="J36" s="79" t="e">
        <f>IF(F36&gt;0,H36/F36,0)</f>
        <v>#REF!</v>
      </c>
      <c r="K36" s="78">
        <f>K35-K10</f>
        <v>728.8</v>
      </c>
      <c r="L36" s="79">
        <f t="shared" si="3"/>
        <v>0.5887760702524697</v>
      </c>
      <c r="M36" s="78">
        <f>M35-M10</f>
        <v>105.1</v>
      </c>
      <c r="N36" s="78">
        <f>N35-N10</f>
        <v>89.20000000000002</v>
      </c>
      <c r="O36" s="79">
        <f t="shared" si="13"/>
        <v>1.178251121076233</v>
      </c>
      <c r="P36" s="78"/>
      <c r="Q36" s="78"/>
      <c r="R36" s="78"/>
      <c r="S36" s="25"/>
    </row>
    <row r="37" spans="1:19" ht="18">
      <c r="A37" s="13" t="s">
        <v>36</v>
      </c>
      <c r="B37" s="13">
        <v>2000000000</v>
      </c>
      <c r="C37" s="70">
        <v>4077.6</v>
      </c>
      <c r="D37" s="67">
        <f>150-1559</f>
        <v>-1409</v>
      </c>
      <c r="E37" s="80">
        <f>C37+D37</f>
        <v>2668.6</v>
      </c>
      <c r="F37" s="66"/>
      <c r="G37" s="70">
        <v>936</v>
      </c>
      <c r="H37" s="67">
        <f>G37+M37</f>
        <v>1121.8</v>
      </c>
      <c r="I37" s="69">
        <f t="shared" si="1"/>
        <v>0.42037023158210296</v>
      </c>
      <c r="J37" s="69">
        <f t="shared" si="4"/>
        <v>0</v>
      </c>
      <c r="K37" s="70">
        <v>1828.8</v>
      </c>
      <c r="L37" s="69">
        <f t="shared" si="3"/>
        <v>0.6134076990376203</v>
      </c>
      <c r="M37" s="70">
        <v>185.8</v>
      </c>
      <c r="N37" s="70">
        <v>184.6</v>
      </c>
      <c r="O37" s="69">
        <f t="shared" si="13"/>
        <v>1.0065005417118094</v>
      </c>
      <c r="P37" s="70"/>
      <c r="Q37" s="70"/>
      <c r="R37" s="70"/>
      <c r="S37" s="172"/>
    </row>
    <row r="38" spans="1:19" ht="18">
      <c r="A38" s="13" t="s">
        <v>45</v>
      </c>
      <c r="B38" s="33" t="s">
        <v>37</v>
      </c>
      <c r="C38" s="70"/>
      <c r="D38" s="82"/>
      <c r="E38" s="66">
        <f>C38+D38</f>
        <v>0</v>
      </c>
      <c r="F38" s="66"/>
      <c r="G38" s="70"/>
      <c r="H38" s="67">
        <f>G38+M38</f>
        <v>0</v>
      </c>
      <c r="I38" s="69">
        <f>IF(E38&gt;0,H38/E38,0)</f>
        <v>0</v>
      </c>
      <c r="J38" s="69">
        <f>IF(F38&gt;0,H38/F38,0)</f>
        <v>0</v>
      </c>
      <c r="K38" s="70">
        <v>139.5</v>
      </c>
      <c r="L38" s="69">
        <f t="shared" si="3"/>
        <v>0</v>
      </c>
      <c r="M38" s="70"/>
      <c r="N38" s="70"/>
      <c r="O38" s="69">
        <f t="shared" si="13"/>
        <v>0</v>
      </c>
      <c r="P38" s="70"/>
      <c r="Q38" s="70"/>
      <c r="R38" s="70"/>
      <c r="S38" s="25"/>
    </row>
    <row r="39" spans="1:19" ht="18">
      <c r="A39" s="9" t="s">
        <v>2</v>
      </c>
      <c r="B39" s="9">
        <v>0</v>
      </c>
      <c r="C39" s="77">
        <f aca="true" t="shared" si="16" ref="C39:H39">C35+C37+C38</f>
        <v>5586.1</v>
      </c>
      <c r="D39" s="77">
        <f t="shared" si="16"/>
        <v>-1409</v>
      </c>
      <c r="E39" s="77">
        <f t="shared" si="16"/>
        <v>4177.1</v>
      </c>
      <c r="F39" s="78" t="e">
        <f t="shared" si="16"/>
        <v>#REF!</v>
      </c>
      <c r="G39" s="78">
        <f t="shared" si="16"/>
        <v>1409</v>
      </c>
      <c r="H39" s="78">
        <f t="shared" si="16"/>
        <v>1730.5</v>
      </c>
      <c r="I39" s="79">
        <f t="shared" si="1"/>
        <v>0.41428263627875794</v>
      </c>
      <c r="J39" s="79" t="e">
        <f t="shared" si="4"/>
        <v>#REF!</v>
      </c>
      <c r="K39" s="78">
        <f>K35+K37+K38</f>
        <v>2842.1</v>
      </c>
      <c r="L39" s="79">
        <f t="shared" si="3"/>
        <v>0.6088807571865874</v>
      </c>
      <c r="M39" s="87">
        <f>M35+M37+M38</f>
        <v>321.5</v>
      </c>
      <c r="N39" s="78">
        <f>N35+N37+N38</f>
        <v>295.2</v>
      </c>
      <c r="O39" s="79">
        <f t="shared" si="13"/>
        <v>1.0890921409214092</v>
      </c>
      <c r="P39" s="78">
        <f>P35+P37</f>
        <v>20.4</v>
      </c>
      <c r="Q39" s="78">
        <f>Q35+Q37</f>
        <v>17.7</v>
      </c>
      <c r="R39" s="78">
        <f>R35+R37</f>
        <v>40.9</v>
      </c>
      <c r="S39" s="25"/>
    </row>
  </sheetData>
  <sheetProtection/>
  <mergeCells count="15"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3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5"/>
      <c r="B1" s="47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8"/>
      <c r="O1" s="48"/>
      <c r="P1" s="25"/>
      <c r="Q1" s="25"/>
      <c r="R1" s="25"/>
    </row>
    <row r="2" spans="1:18" ht="15.75">
      <c r="A2" s="25"/>
      <c r="B2" s="194" t="s">
        <v>128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3.7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</row>
    <row r="5" spans="1:18" ht="19.5" customHeight="1">
      <c r="A5" s="28" t="s">
        <v>21</v>
      </c>
      <c r="B5" s="28"/>
      <c r="C5" s="88">
        <f aca="true" t="shared" si="0" ref="C5:H5">C6+C15+C17+C22+C23+C10</f>
        <v>1349</v>
      </c>
      <c r="D5" s="88">
        <f t="shared" si="0"/>
        <v>0</v>
      </c>
      <c r="E5" s="138">
        <f t="shared" si="0"/>
        <v>1349</v>
      </c>
      <c r="F5" s="88" t="e">
        <f t="shared" si="0"/>
        <v>#REF!</v>
      </c>
      <c r="G5" s="88">
        <f t="shared" si="0"/>
        <v>603.8</v>
      </c>
      <c r="H5" s="88">
        <f t="shared" si="0"/>
        <v>703.9000000000001</v>
      </c>
      <c r="I5" s="89">
        <f aca="true" t="shared" si="1" ref="I5:I40">IF(E5&gt;0,H5/E5,0)</f>
        <v>0.5217939214232765</v>
      </c>
      <c r="J5" s="89" t="e">
        <f>IF(F5&gt;0,H5/F5,0)</f>
        <v>#REF!</v>
      </c>
      <c r="K5" s="88">
        <f>K6+K15+K17+K22+K23+K10</f>
        <v>617.9</v>
      </c>
      <c r="L5" s="89">
        <f>IF(K5&gt;0,H5/K5,0)</f>
        <v>1.1391810972649299</v>
      </c>
      <c r="M5" s="88">
        <f>M6+M15+M17+M22+M23+M10</f>
        <v>100.1</v>
      </c>
      <c r="N5" s="88">
        <f>N6+N15+N17+N22+N23+N10</f>
        <v>85.1</v>
      </c>
      <c r="O5" s="89">
        <f aca="true" t="shared" si="2" ref="O5:O33">IF(N5&gt;0,M5/N5,0)</f>
        <v>1.1762632197414806</v>
      </c>
      <c r="P5" s="88">
        <f>P6+P15+P17+P22+P23+P10</f>
        <v>31.700000000000003</v>
      </c>
      <c r="Q5" s="88">
        <f>Q6+Q15+Q17+Q22+Q23+Q10</f>
        <v>20.7</v>
      </c>
      <c r="R5" s="88">
        <f>R6+R15+R17+R22+R23+R10</f>
        <v>20.299999999999997</v>
      </c>
    </row>
    <row r="6" spans="1:18" ht="18">
      <c r="A6" s="9" t="s">
        <v>62</v>
      </c>
      <c r="B6" s="29">
        <v>1010200001</v>
      </c>
      <c r="C6" s="71">
        <f>C7+C8+C9</f>
        <v>495</v>
      </c>
      <c r="D6" s="71">
        <f>D7+D8+D9</f>
        <v>0</v>
      </c>
      <c r="E6" s="71">
        <f>E7+E8+E9</f>
        <v>495</v>
      </c>
      <c r="F6" s="71" t="e">
        <f>F7+F8+F9+#REF!</f>
        <v>#REF!</v>
      </c>
      <c r="G6" s="71">
        <f>G7+G8+G9</f>
        <v>234.4</v>
      </c>
      <c r="H6" s="71">
        <f>H7+H8+H9</f>
        <v>274.8</v>
      </c>
      <c r="I6" s="86">
        <f t="shared" si="1"/>
        <v>0.5551515151515152</v>
      </c>
      <c r="J6" s="86" t="e">
        <f>IF(F6&gt;0,H6/F6,0)</f>
        <v>#REF!</v>
      </c>
      <c r="K6" s="71">
        <f>K7+K8+K9</f>
        <v>245</v>
      </c>
      <c r="L6" s="86">
        <f aca="true" t="shared" si="3" ref="L6:L40">IF(K6&gt;0,H6/K6,0)</f>
        <v>1.1216326530612246</v>
      </c>
      <c r="M6" s="71">
        <f>M7+M8+M9</f>
        <v>40.4</v>
      </c>
      <c r="N6" s="71">
        <f>N7+N8+N9</f>
        <v>41.7</v>
      </c>
      <c r="O6" s="86">
        <f t="shared" si="2"/>
        <v>0.9688249400479615</v>
      </c>
      <c r="P6" s="71">
        <f>P7+P8+P9</f>
        <v>0.3</v>
      </c>
      <c r="Q6" s="71">
        <f>Q7+Q8+Q9</f>
        <v>0.3</v>
      </c>
      <c r="R6" s="71">
        <f>R7+R8+R9</f>
        <v>0.2</v>
      </c>
    </row>
    <row r="7" spans="1:18" ht="18" customHeight="1">
      <c r="A7" s="10" t="s">
        <v>43</v>
      </c>
      <c r="B7" s="13">
        <v>1010201001</v>
      </c>
      <c r="C7" s="70">
        <v>495</v>
      </c>
      <c r="D7" s="82"/>
      <c r="E7" s="70">
        <f>C7+D7</f>
        <v>495</v>
      </c>
      <c r="F7" s="70"/>
      <c r="G7" s="67">
        <v>234.4</v>
      </c>
      <c r="H7" s="67">
        <f>G7+M7</f>
        <v>274.8</v>
      </c>
      <c r="I7" s="76">
        <f t="shared" si="1"/>
        <v>0.5551515151515152</v>
      </c>
      <c r="J7" s="76">
        <f aca="true" t="shared" si="4" ref="J7:J40">IF(F7&gt;0,H7/F7,0)</f>
        <v>0</v>
      </c>
      <c r="K7" s="67">
        <v>245</v>
      </c>
      <c r="L7" s="76">
        <f t="shared" si="3"/>
        <v>1.1216326530612246</v>
      </c>
      <c r="M7" s="67">
        <v>40.4</v>
      </c>
      <c r="N7" s="67">
        <v>41.7</v>
      </c>
      <c r="O7" s="76">
        <f t="shared" si="2"/>
        <v>0.9688249400479615</v>
      </c>
      <c r="P7" s="70"/>
      <c r="Q7" s="70"/>
      <c r="R7" s="70"/>
    </row>
    <row r="8" spans="1:18" ht="17.25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4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7.25" customHeight="1">
      <c r="A9" s="10" t="s">
        <v>41</v>
      </c>
      <c r="B9" s="13">
        <v>1010203001</v>
      </c>
      <c r="C9" s="70"/>
      <c r="D9" s="70"/>
      <c r="E9" s="70">
        <f>C9+D9</f>
        <v>0</v>
      </c>
      <c r="F9" s="70"/>
      <c r="G9" s="70"/>
      <c r="H9" s="67">
        <f>G9+M9</f>
        <v>0</v>
      </c>
      <c r="I9" s="76">
        <f t="shared" si="1"/>
        <v>0</v>
      </c>
      <c r="J9" s="76">
        <f t="shared" si="4"/>
        <v>0</v>
      </c>
      <c r="K9" s="70"/>
      <c r="L9" s="76">
        <f t="shared" si="3"/>
        <v>0</v>
      </c>
      <c r="M9" s="70"/>
      <c r="N9" s="70"/>
      <c r="O9" s="76">
        <f t="shared" si="2"/>
        <v>0</v>
      </c>
      <c r="P9" s="70">
        <v>0.3</v>
      </c>
      <c r="Q9" s="70">
        <v>0.3</v>
      </c>
      <c r="R9" s="70">
        <v>0.2</v>
      </c>
    </row>
    <row r="10" spans="1:18" ht="18" customHeight="1">
      <c r="A10" s="11" t="s">
        <v>47</v>
      </c>
      <c r="B10" s="19">
        <v>1030200001</v>
      </c>
      <c r="C10" s="71">
        <f aca="true" t="shared" si="5" ref="C10:H10">SUM(C11:C14)</f>
        <v>691</v>
      </c>
      <c r="D10" s="71">
        <f t="shared" si="5"/>
        <v>0</v>
      </c>
      <c r="E10" s="71">
        <f t="shared" si="5"/>
        <v>691</v>
      </c>
      <c r="F10" s="71"/>
      <c r="G10" s="71">
        <f>SUM(G11:G14)</f>
        <v>270.09999999999997</v>
      </c>
      <c r="H10" s="71">
        <f t="shared" si="5"/>
        <v>325.5</v>
      </c>
      <c r="I10" s="65">
        <f t="shared" si="1"/>
        <v>0.4710564399421129</v>
      </c>
      <c r="J10" s="65">
        <f>IF(F10&gt;0,H10/F10,0)</f>
        <v>0</v>
      </c>
      <c r="K10" s="71">
        <f>SUM(K11:K14)</f>
        <v>280.4</v>
      </c>
      <c r="L10" s="65">
        <f t="shared" si="3"/>
        <v>1.1608416547788873</v>
      </c>
      <c r="M10" s="71">
        <f>SUM(M11:M14)</f>
        <v>55.4</v>
      </c>
      <c r="N10" s="71">
        <f>SUM(N11:N14)</f>
        <v>41.5</v>
      </c>
      <c r="O10" s="65">
        <f t="shared" si="2"/>
        <v>1.3349397590361445</v>
      </c>
      <c r="P10" s="71">
        <f>SUM(P11:P14)</f>
        <v>0</v>
      </c>
      <c r="Q10" s="71">
        <f>SUM(Q11:Q14)</f>
        <v>0</v>
      </c>
      <c r="R10" s="71">
        <f>SUM(R11:R14)</f>
        <v>0</v>
      </c>
    </row>
    <row r="11" spans="1:18" ht="19.5" customHeight="1">
      <c r="A11" s="12" t="s">
        <v>48</v>
      </c>
      <c r="B11" s="12">
        <v>1030223101</v>
      </c>
      <c r="C11" s="70">
        <v>317.3</v>
      </c>
      <c r="D11" s="70"/>
      <c r="E11" s="66">
        <f>C11+D11</f>
        <v>317.3</v>
      </c>
      <c r="F11" s="66"/>
      <c r="G11" s="70">
        <v>122.5</v>
      </c>
      <c r="H11" s="68">
        <f>G11+M11</f>
        <v>147.3</v>
      </c>
      <c r="I11" s="69">
        <f t="shared" si="1"/>
        <v>0.4642294358651119</v>
      </c>
      <c r="J11" s="69"/>
      <c r="K11" s="70">
        <v>132.9</v>
      </c>
      <c r="L11" s="69">
        <f t="shared" si="3"/>
        <v>1.108352144469526</v>
      </c>
      <c r="M11" s="70">
        <v>24.8</v>
      </c>
      <c r="N11" s="70">
        <v>20.5</v>
      </c>
      <c r="O11" s="69">
        <f t="shared" si="2"/>
        <v>1.2097560975609756</v>
      </c>
      <c r="P11" s="70"/>
      <c r="Q11" s="70"/>
      <c r="R11" s="70"/>
    </row>
    <row r="12" spans="1:18" ht="17.25" customHeight="1">
      <c r="A12" s="12" t="s">
        <v>49</v>
      </c>
      <c r="B12" s="12">
        <v>1030224101</v>
      </c>
      <c r="C12" s="70">
        <v>1.8</v>
      </c>
      <c r="D12" s="70"/>
      <c r="E12" s="66">
        <f>C12+D12</f>
        <v>1.8</v>
      </c>
      <c r="F12" s="66"/>
      <c r="G12" s="70">
        <v>0.9</v>
      </c>
      <c r="H12" s="68">
        <f>G12+M12</f>
        <v>1.1</v>
      </c>
      <c r="I12" s="69">
        <f t="shared" si="1"/>
        <v>0.6111111111111112</v>
      </c>
      <c r="J12" s="69"/>
      <c r="K12" s="70">
        <v>0.9</v>
      </c>
      <c r="L12" s="69">
        <f t="shared" si="3"/>
        <v>1.2222222222222223</v>
      </c>
      <c r="M12" s="70">
        <v>0.2</v>
      </c>
      <c r="N12" s="70">
        <v>0.2</v>
      </c>
      <c r="O12" s="69">
        <f t="shared" si="2"/>
        <v>1</v>
      </c>
      <c r="P12" s="70"/>
      <c r="Q12" s="70"/>
      <c r="R12" s="70"/>
    </row>
    <row r="13" spans="1:18" ht="18" customHeight="1">
      <c r="A13" s="12" t="s">
        <v>89</v>
      </c>
      <c r="B13" s="12">
        <v>1030225101</v>
      </c>
      <c r="C13" s="70">
        <v>417.4</v>
      </c>
      <c r="D13" s="70"/>
      <c r="E13" s="66">
        <f>C13+D13</f>
        <v>417.4</v>
      </c>
      <c r="F13" s="66"/>
      <c r="G13" s="70">
        <v>168</v>
      </c>
      <c r="H13" s="68">
        <f>G13+M13</f>
        <v>204.6</v>
      </c>
      <c r="I13" s="69">
        <f t="shared" si="1"/>
        <v>0.49017728797316723</v>
      </c>
      <c r="J13" s="69"/>
      <c r="K13" s="70">
        <v>173.1</v>
      </c>
      <c r="L13" s="69">
        <f t="shared" si="3"/>
        <v>1.1819757365684576</v>
      </c>
      <c r="M13" s="70">
        <v>36.6</v>
      </c>
      <c r="N13" s="70">
        <v>23.7</v>
      </c>
      <c r="O13" s="69">
        <f t="shared" si="2"/>
        <v>1.5443037974683544</v>
      </c>
      <c r="P13" s="70"/>
      <c r="Q13" s="70"/>
      <c r="R13" s="70"/>
    </row>
    <row r="14" spans="1:18" ht="17.25" customHeight="1">
      <c r="A14" s="12" t="s">
        <v>51</v>
      </c>
      <c r="B14" s="12">
        <v>1030226101</v>
      </c>
      <c r="C14" s="70">
        <v>-45.5</v>
      </c>
      <c r="D14" s="70"/>
      <c r="E14" s="66">
        <f>C14+D14</f>
        <v>-45.5</v>
      </c>
      <c r="F14" s="66"/>
      <c r="G14" s="70">
        <v>-21.3</v>
      </c>
      <c r="H14" s="68">
        <f>G14+M14</f>
        <v>-27.5</v>
      </c>
      <c r="I14" s="69">
        <f>H14/E14</f>
        <v>0.6043956043956044</v>
      </c>
      <c r="J14" s="69"/>
      <c r="K14" s="70">
        <v>-26.5</v>
      </c>
      <c r="L14" s="69">
        <f t="shared" si="3"/>
        <v>0</v>
      </c>
      <c r="M14" s="70">
        <v>-6.2</v>
      </c>
      <c r="N14" s="70">
        <v>-2.9</v>
      </c>
      <c r="O14" s="69">
        <f t="shared" si="2"/>
        <v>0</v>
      </c>
      <c r="P14" s="70"/>
      <c r="Q14" s="70"/>
      <c r="R14" s="70"/>
    </row>
    <row r="15" spans="1:18" ht="18">
      <c r="A15" s="9" t="s">
        <v>69</v>
      </c>
      <c r="B15" s="29">
        <v>1050000000</v>
      </c>
      <c r="C15" s="71">
        <f aca="true" t="shared" si="6" ref="C15:H15">C16</f>
        <v>0</v>
      </c>
      <c r="D15" s="72">
        <f t="shared" si="6"/>
        <v>0</v>
      </c>
      <c r="E15" s="72">
        <f t="shared" si="6"/>
        <v>0</v>
      </c>
      <c r="F15" s="72">
        <f t="shared" si="6"/>
        <v>0</v>
      </c>
      <c r="G15" s="71">
        <f>G16</f>
        <v>0</v>
      </c>
      <c r="H15" s="72">
        <f t="shared" si="6"/>
        <v>0</v>
      </c>
      <c r="I15" s="86">
        <f t="shared" si="1"/>
        <v>0</v>
      </c>
      <c r="J15" s="86">
        <f t="shared" si="4"/>
        <v>0</v>
      </c>
      <c r="K15" s="71">
        <f>K16</f>
        <v>0</v>
      </c>
      <c r="L15" s="86">
        <f t="shared" si="3"/>
        <v>0</v>
      </c>
      <c r="M15" s="71">
        <f>M16</f>
        <v>0</v>
      </c>
      <c r="N15" s="71">
        <f>N16</f>
        <v>0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</row>
    <row r="16" spans="1:18" ht="18">
      <c r="A16" s="13" t="s">
        <v>7</v>
      </c>
      <c r="B16" s="13">
        <v>1050300001</v>
      </c>
      <c r="C16" s="70"/>
      <c r="D16" s="67"/>
      <c r="E16" s="70">
        <f>C16+D16</f>
        <v>0</v>
      </c>
      <c r="F16" s="70"/>
      <c r="G16" s="70"/>
      <c r="H16" s="67">
        <f>G16+M16</f>
        <v>0</v>
      </c>
      <c r="I16" s="76">
        <f t="shared" si="1"/>
        <v>0</v>
      </c>
      <c r="J16" s="76">
        <f t="shared" si="4"/>
        <v>0</v>
      </c>
      <c r="K16" s="70"/>
      <c r="L16" s="76">
        <f t="shared" si="3"/>
        <v>0</v>
      </c>
      <c r="M16" s="70"/>
      <c r="N16" s="70"/>
      <c r="O16" s="76">
        <f t="shared" si="2"/>
        <v>0</v>
      </c>
      <c r="P16" s="70"/>
      <c r="Q16" s="70"/>
      <c r="R16" s="70"/>
    </row>
    <row r="17" spans="1:18" ht="18">
      <c r="A17" s="9" t="s">
        <v>70</v>
      </c>
      <c r="B17" s="29">
        <v>1060000000</v>
      </c>
      <c r="C17" s="71">
        <f aca="true" t="shared" si="7" ref="C17:H17">C18+C21</f>
        <v>160</v>
      </c>
      <c r="D17" s="72">
        <f t="shared" si="7"/>
        <v>0</v>
      </c>
      <c r="E17" s="72">
        <f t="shared" si="7"/>
        <v>160</v>
      </c>
      <c r="F17" s="72">
        <f t="shared" si="7"/>
        <v>0</v>
      </c>
      <c r="G17" s="71">
        <f>G18+G21</f>
        <v>95.2</v>
      </c>
      <c r="H17" s="72">
        <f t="shared" si="7"/>
        <v>99.4</v>
      </c>
      <c r="I17" s="86">
        <f t="shared" si="1"/>
        <v>0.6212500000000001</v>
      </c>
      <c r="J17" s="86">
        <f t="shared" si="4"/>
        <v>0</v>
      </c>
      <c r="K17" s="71">
        <f>K18+K21</f>
        <v>85.4</v>
      </c>
      <c r="L17" s="86">
        <f t="shared" si="3"/>
        <v>1.1639344262295082</v>
      </c>
      <c r="M17" s="71">
        <f>M18+M21</f>
        <v>4.2</v>
      </c>
      <c r="N17" s="71">
        <f>N18+N21</f>
        <v>1.3</v>
      </c>
      <c r="O17" s="86">
        <f t="shared" si="2"/>
        <v>3.230769230769231</v>
      </c>
      <c r="P17" s="71">
        <f>P18+P21</f>
        <v>31.400000000000002</v>
      </c>
      <c r="Q17" s="71">
        <f>Q18+Q21</f>
        <v>20.4</v>
      </c>
      <c r="R17" s="71">
        <f>R18+R21</f>
        <v>20.099999999999998</v>
      </c>
    </row>
    <row r="18" spans="1:18" ht="18">
      <c r="A18" s="13" t="s">
        <v>13</v>
      </c>
      <c r="B18" s="13">
        <v>1060600000</v>
      </c>
      <c r="C18" s="70">
        <f aca="true" t="shared" si="8" ref="C18:H18">C19+C20</f>
        <v>127</v>
      </c>
      <c r="D18" s="67">
        <f t="shared" si="8"/>
        <v>0</v>
      </c>
      <c r="E18" s="67">
        <f t="shared" si="8"/>
        <v>127</v>
      </c>
      <c r="F18" s="67">
        <f t="shared" si="8"/>
        <v>0</v>
      </c>
      <c r="G18" s="70">
        <f>G19+G20</f>
        <v>94.2</v>
      </c>
      <c r="H18" s="67">
        <f t="shared" si="8"/>
        <v>98.4</v>
      </c>
      <c r="I18" s="76">
        <f t="shared" si="1"/>
        <v>0.7748031496062993</v>
      </c>
      <c r="J18" s="76">
        <f t="shared" si="4"/>
        <v>0</v>
      </c>
      <c r="K18" s="70">
        <f>K19+K20</f>
        <v>83.7</v>
      </c>
      <c r="L18" s="76">
        <f t="shared" si="3"/>
        <v>1.1756272401433692</v>
      </c>
      <c r="M18" s="70">
        <f>M19+M20</f>
        <v>4.2</v>
      </c>
      <c r="N18" s="70">
        <f>N19+N20</f>
        <v>1.2</v>
      </c>
      <c r="O18" s="76">
        <f t="shared" si="2"/>
        <v>3.5000000000000004</v>
      </c>
      <c r="P18" s="70">
        <f>P19+P20</f>
        <v>24.1</v>
      </c>
      <c r="Q18" s="70">
        <f>Q19+Q20</f>
        <v>14.1</v>
      </c>
      <c r="R18" s="70">
        <f>R19+R20</f>
        <v>13.799999999999999</v>
      </c>
    </row>
    <row r="19" spans="1:18" ht="18">
      <c r="A19" s="13" t="s">
        <v>99</v>
      </c>
      <c r="B19" s="13">
        <v>1060603310</v>
      </c>
      <c r="C19" s="70">
        <v>78</v>
      </c>
      <c r="D19" s="67"/>
      <c r="E19" s="70">
        <f>C19+D19</f>
        <v>78</v>
      </c>
      <c r="F19" s="70"/>
      <c r="G19" s="70">
        <v>84.5</v>
      </c>
      <c r="H19" s="67">
        <f>G19+M19</f>
        <v>88.5</v>
      </c>
      <c r="I19" s="76">
        <f t="shared" si="1"/>
        <v>1.1346153846153846</v>
      </c>
      <c r="J19" s="76">
        <f t="shared" si="4"/>
        <v>0</v>
      </c>
      <c r="K19" s="70">
        <v>76.5</v>
      </c>
      <c r="L19" s="76">
        <f t="shared" si="3"/>
        <v>1.1568627450980393</v>
      </c>
      <c r="M19" s="70">
        <v>4</v>
      </c>
      <c r="N19" s="70">
        <v>0.6</v>
      </c>
      <c r="O19" s="76">
        <f t="shared" si="2"/>
        <v>6.666666666666667</v>
      </c>
      <c r="P19" s="70">
        <v>0.1</v>
      </c>
      <c r="Q19" s="70">
        <v>0.1</v>
      </c>
      <c r="R19" s="70">
        <v>0.1</v>
      </c>
    </row>
    <row r="20" spans="1:18" ht="18">
      <c r="A20" s="13" t="s">
        <v>100</v>
      </c>
      <c r="B20" s="13">
        <v>1060604310</v>
      </c>
      <c r="C20" s="70">
        <v>49</v>
      </c>
      <c r="D20" s="67"/>
      <c r="E20" s="70">
        <f>C20+D20</f>
        <v>49</v>
      </c>
      <c r="F20" s="70"/>
      <c r="G20" s="70">
        <v>9.7</v>
      </c>
      <c r="H20" s="67">
        <f>G20+M20</f>
        <v>9.899999999999999</v>
      </c>
      <c r="I20" s="76">
        <f t="shared" si="1"/>
        <v>0.2020408163265306</v>
      </c>
      <c r="J20" s="76">
        <f t="shared" si="4"/>
        <v>0</v>
      </c>
      <c r="K20" s="70">
        <v>7.2</v>
      </c>
      <c r="L20" s="76">
        <f t="shared" si="3"/>
        <v>1.3749999999999998</v>
      </c>
      <c r="M20" s="70">
        <v>0.2</v>
      </c>
      <c r="N20" s="70">
        <v>0.6</v>
      </c>
      <c r="O20" s="76">
        <f t="shared" si="2"/>
        <v>0.33333333333333337</v>
      </c>
      <c r="P20" s="70">
        <v>24</v>
      </c>
      <c r="Q20" s="70">
        <v>14</v>
      </c>
      <c r="R20" s="70">
        <v>13.7</v>
      </c>
    </row>
    <row r="21" spans="1:20" ht="18">
      <c r="A21" s="13" t="s">
        <v>12</v>
      </c>
      <c r="B21" s="13">
        <v>1060103010</v>
      </c>
      <c r="C21" s="70">
        <v>33</v>
      </c>
      <c r="D21" s="67"/>
      <c r="E21" s="70">
        <f>C21+D21</f>
        <v>33</v>
      </c>
      <c r="F21" s="70"/>
      <c r="G21" s="70">
        <v>1</v>
      </c>
      <c r="H21" s="67">
        <f>G21+M21</f>
        <v>1</v>
      </c>
      <c r="I21" s="76">
        <f t="shared" si="1"/>
        <v>0.030303030303030304</v>
      </c>
      <c r="J21" s="76">
        <f t="shared" si="4"/>
        <v>0</v>
      </c>
      <c r="K21" s="70">
        <v>1.7</v>
      </c>
      <c r="L21" s="76">
        <f t="shared" si="3"/>
        <v>0.5882352941176471</v>
      </c>
      <c r="M21" s="70"/>
      <c r="N21" s="70">
        <v>0.1</v>
      </c>
      <c r="O21" s="76">
        <f t="shared" si="2"/>
        <v>0</v>
      </c>
      <c r="P21" s="70">
        <v>7.3</v>
      </c>
      <c r="Q21" s="70">
        <v>6.3</v>
      </c>
      <c r="R21" s="70">
        <v>6.3</v>
      </c>
      <c r="S21" s="127"/>
      <c r="T21" s="156"/>
    </row>
    <row r="22" spans="1:18" ht="18">
      <c r="A22" s="9" t="s">
        <v>71</v>
      </c>
      <c r="B22" s="29">
        <v>1080402001</v>
      </c>
      <c r="C22" s="71">
        <v>3</v>
      </c>
      <c r="D22" s="72"/>
      <c r="E22" s="71">
        <f>C22+D22</f>
        <v>3</v>
      </c>
      <c r="F22" s="71"/>
      <c r="G22" s="71">
        <v>4.1</v>
      </c>
      <c r="H22" s="72">
        <f>G22+M22</f>
        <v>4.199999999999999</v>
      </c>
      <c r="I22" s="86">
        <f t="shared" si="1"/>
        <v>1.3999999999999997</v>
      </c>
      <c r="J22" s="86">
        <f t="shared" si="4"/>
        <v>0</v>
      </c>
      <c r="K22" s="71">
        <v>7.1</v>
      </c>
      <c r="L22" s="86">
        <f t="shared" si="3"/>
        <v>0.5915492957746478</v>
      </c>
      <c r="M22" s="71">
        <v>0.1</v>
      </c>
      <c r="N22" s="71">
        <v>0.6</v>
      </c>
      <c r="O22" s="86">
        <f t="shared" si="2"/>
        <v>0.16666666666666669</v>
      </c>
      <c r="P22" s="71"/>
      <c r="Q22" s="71"/>
      <c r="R22" s="71"/>
    </row>
    <row r="23" spans="1:18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4"/>
        <v>0</v>
      </c>
      <c r="K23" s="71"/>
      <c r="L23" s="86">
        <f t="shared" si="3"/>
        <v>0</v>
      </c>
      <c r="M23" s="71"/>
      <c r="N23" s="71"/>
      <c r="O23" s="86">
        <f t="shared" si="2"/>
        <v>0</v>
      </c>
      <c r="P23" s="71"/>
      <c r="Q23" s="71"/>
      <c r="R23" s="71"/>
    </row>
    <row r="24" spans="1:18" ht="18">
      <c r="A24" s="31" t="s">
        <v>22</v>
      </c>
      <c r="B24" s="31"/>
      <c r="C24" s="85">
        <f aca="true" t="shared" si="9" ref="C24:H24">C25+C29+C33+C31+C32+C30</f>
        <v>70</v>
      </c>
      <c r="D24" s="85">
        <f t="shared" si="9"/>
        <v>1005.694</v>
      </c>
      <c r="E24" s="85">
        <f t="shared" si="9"/>
        <v>1075.694</v>
      </c>
      <c r="F24" s="85">
        <f t="shared" si="9"/>
        <v>0</v>
      </c>
      <c r="G24" s="85">
        <f>G25+G29+G33+G31+G32+G30</f>
        <v>78.8</v>
      </c>
      <c r="H24" s="85">
        <f t="shared" si="9"/>
        <v>96.19999999999999</v>
      </c>
      <c r="I24" s="89">
        <f t="shared" si="1"/>
        <v>0.08943063733738404</v>
      </c>
      <c r="J24" s="89">
        <f t="shared" si="4"/>
        <v>0</v>
      </c>
      <c r="K24" s="85">
        <f>K25+K29+K33+K31+K32+K30</f>
        <v>68.39999999999999</v>
      </c>
      <c r="L24" s="89">
        <f t="shared" si="3"/>
        <v>1.4064327485380117</v>
      </c>
      <c r="M24" s="85">
        <f>M25+M29+M33+M31+M32+M30</f>
        <v>17.4</v>
      </c>
      <c r="N24" s="85">
        <f>N25+N29+N33+N31+N32+N30</f>
        <v>10.9</v>
      </c>
      <c r="O24" s="89">
        <f t="shared" si="2"/>
        <v>1.5963302752293576</v>
      </c>
      <c r="P24" s="75">
        <f>P25+P29+P32</f>
        <v>0</v>
      </c>
      <c r="Q24" s="75">
        <f>Q25+Q29+Q32</f>
        <v>0</v>
      </c>
      <c r="R24" s="75">
        <f>R25+R29+R32</f>
        <v>0</v>
      </c>
    </row>
    <row r="25" spans="1:18" ht="18">
      <c r="A25" s="9" t="s">
        <v>73</v>
      </c>
      <c r="B25" s="29">
        <v>1110000000</v>
      </c>
      <c r="C25" s="71">
        <f aca="true" t="shared" si="10" ref="C25:H25">C26+C28+C27</f>
        <v>20</v>
      </c>
      <c r="D25" s="71">
        <f t="shared" si="10"/>
        <v>0</v>
      </c>
      <c r="E25" s="71">
        <f t="shared" si="10"/>
        <v>20</v>
      </c>
      <c r="F25" s="71">
        <f t="shared" si="10"/>
        <v>0</v>
      </c>
      <c r="G25" s="71">
        <f>G26+G28+G27</f>
        <v>23.6</v>
      </c>
      <c r="H25" s="71">
        <f t="shared" si="10"/>
        <v>26.8</v>
      </c>
      <c r="I25" s="86">
        <f t="shared" si="1"/>
        <v>1.34</v>
      </c>
      <c r="J25" s="86">
        <f t="shared" si="4"/>
        <v>0</v>
      </c>
      <c r="K25" s="71">
        <f>K26+K28+K27</f>
        <v>13.5</v>
      </c>
      <c r="L25" s="86">
        <f t="shared" si="3"/>
        <v>1.9851851851851852</v>
      </c>
      <c r="M25" s="71">
        <f>M26+M28+M27</f>
        <v>3.2</v>
      </c>
      <c r="N25" s="71">
        <f>N26+N28+N27</f>
        <v>1.3</v>
      </c>
      <c r="O25" s="86">
        <f t="shared" si="2"/>
        <v>2.4615384615384617</v>
      </c>
      <c r="P25" s="71">
        <f>P26+P28+P27</f>
        <v>0</v>
      </c>
      <c r="Q25" s="71">
        <f>Q26+Q28+Q27</f>
        <v>0</v>
      </c>
      <c r="R25" s="71">
        <f>R26+R28+R27</f>
        <v>0</v>
      </c>
    </row>
    <row r="26" spans="1:18" ht="0.75" customHeight="1">
      <c r="A26" s="13" t="s">
        <v>26</v>
      </c>
      <c r="B26" s="13">
        <v>1110501013</v>
      </c>
      <c r="C26" s="70"/>
      <c r="D26" s="67"/>
      <c r="E26" s="70">
        <f aca="true" t="shared" si="11" ref="E26:E32">C26+D26</f>
        <v>0</v>
      </c>
      <c r="F26" s="70"/>
      <c r="G26" s="70"/>
      <c r="H26" s="67">
        <f aca="true" t="shared" si="12" ref="H26:H32">G26+M26</f>
        <v>0</v>
      </c>
      <c r="I26" s="76">
        <f t="shared" si="1"/>
        <v>0</v>
      </c>
      <c r="J26" s="76">
        <f t="shared" si="4"/>
        <v>0</v>
      </c>
      <c r="K26" s="70"/>
      <c r="L26" s="76">
        <f t="shared" si="3"/>
        <v>0</v>
      </c>
      <c r="M26" s="70"/>
      <c r="N26" s="70"/>
      <c r="O26" s="76">
        <f t="shared" si="2"/>
        <v>0</v>
      </c>
      <c r="P26" s="70"/>
      <c r="Q26" s="70"/>
      <c r="R26" s="70"/>
    </row>
    <row r="27" spans="1:18" ht="21" customHeight="1" hidden="1">
      <c r="A27" s="13" t="s">
        <v>27</v>
      </c>
      <c r="B27" s="13">
        <v>1110903510</v>
      </c>
      <c r="C27" s="70"/>
      <c r="D27" s="67"/>
      <c r="E27" s="70">
        <f t="shared" si="11"/>
        <v>0</v>
      </c>
      <c r="F27" s="70"/>
      <c r="G27" s="70"/>
      <c r="H27" s="67">
        <f t="shared" si="12"/>
        <v>0</v>
      </c>
      <c r="I27" s="76">
        <f t="shared" si="1"/>
        <v>0</v>
      </c>
      <c r="J27" s="76">
        <f t="shared" si="4"/>
        <v>0</v>
      </c>
      <c r="K27" s="70"/>
      <c r="L27" s="76">
        <f t="shared" si="3"/>
        <v>0</v>
      </c>
      <c r="M27" s="70"/>
      <c r="N27" s="70"/>
      <c r="O27" s="76">
        <f t="shared" si="2"/>
        <v>0</v>
      </c>
      <c r="P27" s="70"/>
      <c r="Q27" s="70"/>
      <c r="R27" s="70"/>
    </row>
    <row r="28" spans="1:18" ht="22.5" customHeight="1">
      <c r="A28" s="32" t="s">
        <v>23</v>
      </c>
      <c r="B28" s="13">
        <v>1110904510</v>
      </c>
      <c r="C28" s="70">
        <v>20</v>
      </c>
      <c r="D28" s="67"/>
      <c r="E28" s="70">
        <f t="shared" si="11"/>
        <v>20</v>
      </c>
      <c r="F28" s="70"/>
      <c r="G28" s="70">
        <v>23.6</v>
      </c>
      <c r="H28" s="67">
        <f t="shared" si="12"/>
        <v>26.8</v>
      </c>
      <c r="I28" s="76">
        <f t="shared" si="1"/>
        <v>1.34</v>
      </c>
      <c r="J28" s="76">
        <f t="shared" si="4"/>
        <v>0</v>
      </c>
      <c r="K28" s="70">
        <v>13.5</v>
      </c>
      <c r="L28" s="76">
        <f t="shared" si="3"/>
        <v>1.9851851851851852</v>
      </c>
      <c r="M28" s="70">
        <v>3.2</v>
      </c>
      <c r="N28" s="70">
        <v>1.3</v>
      </c>
      <c r="O28" s="76">
        <f t="shared" si="2"/>
        <v>2.4615384615384617</v>
      </c>
      <c r="P28" s="70"/>
      <c r="Q28" s="70"/>
      <c r="R28" s="70"/>
    </row>
    <row r="29" spans="1:18" ht="18">
      <c r="A29" s="9" t="s">
        <v>38</v>
      </c>
      <c r="B29" s="29">
        <v>1130299510</v>
      </c>
      <c r="C29" s="71">
        <v>50</v>
      </c>
      <c r="D29" s="71">
        <f>888.794+116.9</f>
        <v>1005.694</v>
      </c>
      <c r="E29" s="71">
        <f t="shared" si="11"/>
        <v>1055.694</v>
      </c>
      <c r="F29" s="71"/>
      <c r="G29" s="71">
        <v>55.1</v>
      </c>
      <c r="H29" s="72">
        <f t="shared" si="12"/>
        <v>69.3</v>
      </c>
      <c r="I29" s="86">
        <f t="shared" si="1"/>
        <v>0.06564402184723983</v>
      </c>
      <c r="J29" s="86">
        <f t="shared" si="4"/>
        <v>0</v>
      </c>
      <c r="K29" s="71">
        <v>54.8</v>
      </c>
      <c r="L29" s="86">
        <f t="shared" si="3"/>
        <v>1.2645985401459854</v>
      </c>
      <c r="M29" s="71">
        <v>14.2</v>
      </c>
      <c r="N29" s="71">
        <v>9.6</v>
      </c>
      <c r="O29" s="86">
        <f t="shared" si="2"/>
        <v>1.4791666666666667</v>
      </c>
      <c r="P29" s="71"/>
      <c r="Q29" s="71"/>
      <c r="R29" s="71"/>
    </row>
    <row r="30" spans="1:18" ht="18">
      <c r="A30" s="9" t="s">
        <v>44</v>
      </c>
      <c r="B30" s="29">
        <v>1140205310</v>
      </c>
      <c r="C30" s="71"/>
      <c r="D30" s="71"/>
      <c r="E30" s="71">
        <f t="shared" si="11"/>
        <v>0</v>
      </c>
      <c r="F30" s="71"/>
      <c r="G30" s="71"/>
      <c r="H30" s="72">
        <f t="shared" si="12"/>
        <v>0</v>
      </c>
      <c r="I30" s="86">
        <f t="shared" si="1"/>
        <v>0</v>
      </c>
      <c r="J30" s="86"/>
      <c r="K30" s="71"/>
      <c r="L30" s="86">
        <f t="shared" si="3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18" ht="18">
      <c r="A31" s="9" t="s">
        <v>77</v>
      </c>
      <c r="B31" s="29">
        <v>1140601410</v>
      </c>
      <c r="C31" s="71"/>
      <c r="D31" s="71"/>
      <c r="E31" s="71">
        <f t="shared" si="11"/>
        <v>0</v>
      </c>
      <c r="F31" s="71"/>
      <c r="G31" s="71"/>
      <c r="H31" s="72">
        <f t="shared" si="12"/>
        <v>0</v>
      </c>
      <c r="I31" s="86">
        <f t="shared" si="1"/>
        <v>0</v>
      </c>
      <c r="J31" s="86">
        <f t="shared" si="4"/>
        <v>0</v>
      </c>
      <c r="K31" s="71"/>
      <c r="L31" s="86">
        <f t="shared" si="3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18" ht="18">
      <c r="A32" s="9" t="s">
        <v>76</v>
      </c>
      <c r="B32" s="29">
        <v>1169005010</v>
      </c>
      <c r="C32" s="71"/>
      <c r="D32" s="71"/>
      <c r="E32" s="71">
        <f t="shared" si="11"/>
        <v>0</v>
      </c>
      <c r="F32" s="71"/>
      <c r="G32" s="71"/>
      <c r="H32" s="72">
        <f t="shared" si="12"/>
        <v>0</v>
      </c>
      <c r="I32" s="86">
        <f>IF(E32&gt;0,H32/E32,0)</f>
        <v>0</v>
      </c>
      <c r="J32" s="86">
        <f>IF(F32&gt;0,H32/F32,0)</f>
        <v>0</v>
      </c>
      <c r="K32" s="71"/>
      <c r="L32" s="86">
        <f t="shared" si="3"/>
        <v>0</v>
      </c>
      <c r="M32" s="71"/>
      <c r="N32" s="71"/>
      <c r="O32" s="86">
        <f t="shared" si="2"/>
        <v>0</v>
      </c>
      <c r="P32" s="71"/>
      <c r="Q32" s="71"/>
      <c r="R32" s="71"/>
    </row>
    <row r="33" spans="1:18" ht="18">
      <c r="A33" s="9" t="s">
        <v>68</v>
      </c>
      <c r="B33" s="29">
        <v>1170000000</v>
      </c>
      <c r="C33" s="72">
        <f aca="true" t="shared" si="13" ref="C33:H33">SUM(C34:C35)</f>
        <v>0</v>
      </c>
      <c r="D33" s="72">
        <f t="shared" si="13"/>
        <v>0</v>
      </c>
      <c r="E33" s="72">
        <f t="shared" si="13"/>
        <v>0</v>
      </c>
      <c r="F33" s="72">
        <f t="shared" si="13"/>
        <v>0</v>
      </c>
      <c r="G33" s="72">
        <f>SUM(G34:G35)</f>
        <v>0.1</v>
      </c>
      <c r="H33" s="72">
        <f t="shared" si="13"/>
        <v>0.1</v>
      </c>
      <c r="I33" s="86">
        <f>IF(E33&gt;0,H33/E33,0)</f>
        <v>0</v>
      </c>
      <c r="J33" s="86">
        <f>IF(F33&gt;0,H33/F33,0)</f>
        <v>0</v>
      </c>
      <c r="K33" s="72">
        <f>SUM(K34:K35)</f>
        <v>0.1</v>
      </c>
      <c r="L33" s="86">
        <f t="shared" si="3"/>
        <v>1</v>
      </c>
      <c r="M33" s="72">
        <f>SUM(M34:M35)</f>
        <v>0</v>
      </c>
      <c r="N33" s="72">
        <f>SUM(N34:N35)</f>
        <v>0</v>
      </c>
      <c r="O33" s="86">
        <f t="shared" si="2"/>
        <v>0</v>
      </c>
      <c r="P33" s="72">
        <f>SUM(P34:P35)</f>
        <v>0</v>
      </c>
      <c r="Q33" s="72">
        <f>SUM(Q34:Q35)</f>
        <v>0</v>
      </c>
      <c r="R33" s="72">
        <f>SUM(R34:R35)</f>
        <v>0</v>
      </c>
    </row>
    <row r="34" spans="1:18" ht="18">
      <c r="A34" s="13" t="s">
        <v>8</v>
      </c>
      <c r="B34" s="13">
        <v>1170103003</v>
      </c>
      <c r="C34" s="70"/>
      <c r="D34" s="70"/>
      <c r="E34" s="70">
        <f>C34+D34</f>
        <v>0</v>
      </c>
      <c r="F34" s="70"/>
      <c r="G34" s="70"/>
      <c r="H34" s="67">
        <f>G34+M34</f>
        <v>0</v>
      </c>
      <c r="I34" s="76">
        <f t="shared" si="1"/>
        <v>0</v>
      </c>
      <c r="J34" s="76">
        <f t="shared" si="4"/>
        <v>0</v>
      </c>
      <c r="K34" s="70"/>
      <c r="L34" s="76">
        <f t="shared" si="3"/>
        <v>0</v>
      </c>
      <c r="M34" s="70"/>
      <c r="N34" s="70"/>
      <c r="O34" s="76">
        <f aca="true" t="shared" si="14" ref="O34:O40">IF(N34&gt;0,M34/N34,0)</f>
        <v>0</v>
      </c>
      <c r="P34" s="76"/>
      <c r="Q34" s="76"/>
      <c r="R34" s="76"/>
    </row>
    <row r="35" spans="1:18" ht="18">
      <c r="A35" s="13" t="s">
        <v>33</v>
      </c>
      <c r="B35" s="13">
        <v>1170505010</v>
      </c>
      <c r="C35" s="70"/>
      <c r="D35" s="67"/>
      <c r="E35" s="70">
        <f>C35+D35</f>
        <v>0</v>
      </c>
      <c r="F35" s="70"/>
      <c r="G35" s="70">
        <v>0.1</v>
      </c>
      <c r="H35" s="67">
        <f>G35+M35</f>
        <v>0.1</v>
      </c>
      <c r="I35" s="76">
        <f>IF(E35&gt;0,H35/E35,0)</f>
        <v>0</v>
      </c>
      <c r="J35" s="76">
        <f>IF(F35&gt;0,H35/F35,0)</f>
        <v>0</v>
      </c>
      <c r="K35" s="70">
        <v>0.1</v>
      </c>
      <c r="L35" s="76">
        <f>IF(K35&gt;0,H35/K35,0)</f>
        <v>1</v>
      </c>
      <c r="M35" s="70"/>
      <c r="N35" s="70"/>
      <c r="O35" s="76">
        <f t="shared" si="14"/>
        <v>0</v>
      </c>
      <c r="P35" s="70"/>
      <c r="Q35" s="70"/>
      <c r="R35" s="70"/>
    </row>
    <row r="36" spans="1:20" ht="18">
      <c r="A36" s="9" t="s">
        <v>6</v>
      </c>
      <c r="B36" s="9">
        <v>1000000000</v>
      </c>
      <c r="C36" s="78">
        <f aca="true" t="shared" si="15" ref="C36:H36">C5+C24</f>
        <v>1419</v>
      </c>
      <c r="D36" s="77">
        <f t="shared" si="15"/>
        <v>1005.694</v>
      </c>
      <c r="E36" s="77">
        <f t="shared" si="15"/>
        <v>2424.694</v>
      </c>
      <c r="F36" s="78" t="e">
        <f t="shared" si="15"/>
        <v>#REF!</v>
      </c>
      <c r="G36" s="78">
        <f>G5+G24</f>
        <v>682.5999999999999</v>
      </c>
      <c r="H36" s="78">
        <f t="shared" si="15"/>
        <v>800.1000000000001</v>
      </c>
      <c r="I36" s="90">
        <f t="shared" si="1"/>
        <v>0.3299797830159188</v>
      </c>
      <c r="J36" s="90" t="e">
        <f t="shared" si="4"/>
        <v>#REF!</v>
      </c>
      <c r="K36" s="78">
        <f>K5+K24</f>
        <v>686.3</v>
      </c>
      <c r="L36" s="90">
        <f t="shared" si="3"/>
        <v>1.165816698236923</v>
      </c>
      <c r="M36" s="78">
        <f>M5+M24</f>
        <v>117.5</v>
      </c>
      <c r="N36" s="78">
        <f>N5+N24</f>
        <v>96</v>
      </c>
      <c r="O36" s="90">
        <f t="shared" si="14"/>
        <v>1.2239583333333333</v>
      </c>
      <c r="P36" s="78">
        <f>P5+P24</f>
        <v>31.700000000000003</v>
      </c>
      <c r="Q36" s="78">
        <f>Q5+Q24</f>
        <v>20.7</v>
      </c>
      <c r="R36" s="78">
        <f>R5+R24</f>
        <v>20.299999999999997</v>
      </c>
      <c r="S36" s="158"/>
      <c r="T36" s="156"/>
    </row>
    <row r="37" spans="1:18" ht="18">
      <c r="A37" s="9" t="s">
        <v>91</v>
      </c>
      <c r="B37" s="9"/>
      <c r="C37" s="78">
        <f aca="true" t="shared" si="16" ref="C37:H37">C36-C10</f>
        <v>728</v>
      </c>
      <c r="D37" s="77">
        <f t="shared" si="16"/>
        <v>1005.694</v>
      </c>
      <c r="E37" s="77">
        <f t="shared" si="16"/>
        <v>1733.694</v>
      </c>
      <c r="F37" s="78" t="e">
        <f t="shared" si="16"/>
        <v>#REF!</v>
      </c>
      <c r="G37" s="78">
        <f>G36-G10</f>
        <v>412.49999999999994</v>
      </c>
      <c r="H37" s="78">
        <f t="shared" si="16"/>
        <v>474.60000000000014</v>
      </c>
      <c r="I37" s="90">
        <f>IF(E37&gt;0,H37/E37,0)</f>
        <v>0.2737507310978755</v>
      </c>
      <c r="J37" s="90" t="e">
        <f>IF(F37&gt;0,H37/F37,0)</f>
        <v>#REF!</v>
      </c>
      <c r="K37" s="78">
        <f>K36-K10</f>
        <v>405.9</v>
      </c>
      <c r="L37" s="90">
        <f t="shared" si="3"/>
        <v>1.1692535107169257</v>
      </c>
      <c r="M37" s="78">
        <f>M36-M10</f>
        <v>62.1</v>
      </c>
      <c r="N37" s="78">
        <f>N36-N10</f>
        <v>54.5</v>
      </c>
      <c r="O37" s="90">
        <f t="shared" si="14"/>
        <v>1.1394495412844037</v>
      </c>
      <c r="P37" s="78"/>
      <c r="Q37" s="78"/>
      <c r="R37" s="78"/>
    </row>
    <row r="38" spans="1:19" ht="18">
      <c r="A38" s="13" t="s">
        <v>25</v>
      </c>
      <c r="B38" s="13">
        <v>2000000000</v>
      </c>
      <c r="C38" s="70">
        <v>2901.6</v>
      </c>
      <c r="D38" s="82">
        <f>90-3-593.2</f>
        <v>-506.20000000000005</v>
      </c>
      <c r="E38" s="70">
        <f>C38+D38</f>
        <v>2395.3999999999996</v>
      </c>
      <c r="F38" s="70"/>
      <c r="G38" s="70">
        <v>934.9</v>
      </c>
      <c r="H38" s="67">
        <f>G38+M38</f>
        <v>1119.6</v>
      </c>
      <c r="I38" s="76">
        <f t="shared" si="1"/>
        <v>0.4673958420305586</v>
      </c>
      <c r="J38" s="76">
        <f t="shared" si="4"/>
        <v>0</v>
      </c>
      <c r="K38" s="70">
        <v>932.8</v>
      </c>
      <c r="L38" s="76">
        <f t="shared" si="3"/>
        <v>1.2002572898799313</v>
      </c>
      <c r="M38" s="70">
        <v>184.7</v>
      </c>
      <c r="N38" s="70">
        <v>171.1</v>
      </c>
      <c r="O38" s="76">
        <f t="shared" si="14"/>
        <v>1.0794856808883693</v>
      </c>
      <c r="P38" s="70"/>
      <c r="Q38" s="70"/>
      <c r="R38" s="70"/>
      <c r="S38" s="173"/>
    </row>
    <row r="39" spans="1:18" ht="18">
      <c r="A39" s="13" t="s">
        <v>46</v>
      </c>
      <c r="B39" s="33" t="s">
        <v>37</v>
      </c>
      <c r="C39" s="70"/>
      <c r="D39" s="81"/>
      <c r="E39" s="70">
        <f>C39+D39</f>
        <v>0</v>
      </c>
      <c r="F39" s="70"/>
      <c r="G39" s="70"/>
      <c r="H39" s="67">
        <f>G39+M39</f>
        <v>0</v>
      </c>
      <c r="I39" s="76">
        <f t="shared" si="1"/>
        <v>0</v>
      </c>
      <c r="J39" s="76"/>
      <c r="K39" s="70"/>
      <c r="L39" s="76">
        <f t="shared" si="3"/>
        <v>0</v>
      </c>
      <c r="M39" s="70"/>
      <c r="N39" s="70"/>
      <c r="O39" s="76">
        <f t="shared" si="14"/>
        <v>0</v>
      </c>
      <c r="P39" s="70"/>
      <c r="Q39" s="70"/>
      <c r="R39" s="70"/>
    </row>
    <row r="40" spans="1:18" ht="18">
      <c r="A40" s="9" t="s">
        <v>2</v>
      </c>
      <c r="B40" s="9">
        <v>0</v>
      </c>
      <c r="C40" s="87">
        <f>C36+C38+C39</f>
        <v>4320.6</v>
      </c>
      <c r="D40" s="77">
        <f>D36+D38+D39</f>
        <v>499.4939999999999</v>
      </c>
      <c r="E40" s="77">
        <f>E36+E38+E39</f>
        <v>4820.093999999999</v>
      </c>
      <c r="F40" s="87" t="e">
        <f>F36+F38</f>
        <v>#REF!</v>
      </c>
      <c r="G40" s="78">
        <f>G36+G38+G39</f>
        <v>1617.5</v>
      </c>
      <c r="H40" s="78">
        <f>H36+H38+H39</f>
        <v>1919.7</v>
      </c>
      <c r="I40" s="90">
        <f t="shared" si="1"/>
        <v>0.398270241202765</v>
      </c>
      <c r="J40" s="90" t="e">
        <f t="shared" si="4"/>
        <v>#REF!</v>
      </c>
      <c r="K40" s="78">
        <f>K36+K38+K39</f>
        <v>1619.1</v>
      </c>
      <c r="L40" s="90">
        <f t="shared" si="3"/>
        <v>1.1856586992773763</v>
      </c>
      <c r="M40" s="78">
        <f>M36+M38+M39</f>
        <v>302.2</v>
      </c>
      <c r="N40" s="78">
        <f>N36+N38+N39</f>
        <v>267.1</v>
      </c>
      <c r="O40" s="90">
        <f t="shared" si="14"/>
        <v>1.1314114563833768</v>
      </c>
      <c r="P40" s="91">
        <f>P36+P38</f>
        <v>31.700000000000003</v>
      </c>
      <c r="Q40" s="78">
        <f>Q36+Q38</f>
        <v>20.7</v>
      </c>
      <c r="R40" s="78">
        <f>R36+R38</f>
        <v>20.299999999999997</v>
      </c>
    </row>
    <row r="41" ht="18">
      <c r="I41" s="152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5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5"/>
      <c r="B1" s="47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8"/>
      <c r="O1" s="48"/>
      <c r="P1" s="25"/>
      <c r="Q1" s="25"/>
      <c r="R1" s="25"/>
    </row>
    <row r="2" spans="1:18" ht="15.75">
      <c r="A2" s="25"/>
      <c r="B2" s="194" t="s">
        <v>129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3.7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</row>
    <row r="5" spans="1:20" ht="17.25" customHeight="1">
      <c r="A5" s="28" t="s">
        <v>21</v>
      </c>
      <c r="B5" s="28"/>
      <c r="C5" s="88">
        <f aca="true" t="shared" si="0" ref="C5:H5">C6+C15+C17+C22+C23+C10</f>
        <v>1740.7000000000003</v>
      </c>
      <c r="D5" s="88">
        <f t="shared" si="0"/>
        <v>10</v>
      </c>
      <c r="E5" s="88">
        <f t="shared" si="0"/>
        <v>1750.7000000000003</v>
      </c>
      <c r="F5" s="88">
        <f t="shared" si="0"/>
        <v>0</v>
      </c>
      <c r="G5" s="88">
        <f t="shared" si="0"/>
        <v>670.8999999999999</v>
      </c>
      <c r="H5" s="88">
        <f t="shared" si="0"/>
        <v>832.0999999999999</v>
      </c>
      <c r="I5" s="89">
        <f aca="true" t="shared" si="1" ref="I5:I39">IF(E5&gt;0,H5/E5,0)</f>
        <v>0.47529559604729527</v>
      </c>
      <c r="J5" s="89">
        <f>IF(F5&gt;0,H5/F5,0)</f>
        <v>0</v>
      </c>
      <c r="K5" s="88">
        <f>K6+K15+K17+K22+K23+K10</f>
        <v>782.5</v>
      </c>
      <c r="L5" s="89">
        <f>IF(K5&gt;0,H5/K5,0)</f>
        <v>1.0633865814696484</v>
      </c>
      <c r="M5" s="88">
        <f>M6+M15+M17+M22+M23+M10</f>
        <v>161.2</v>
      </c>
      <c r="N5" s="88">
        <f>N6+N15+N17+N22+N23+N10</f>
        <v>131.8</v>
      </c>
      <c r="O5" s="89">
        <f aca="true" t="shared" si="2" ref="O5:O39">IF(N5&gt;0,M5/N5,0)</f>
        <v>1.2230652503793624</v>
      </c>
      <c r="P5" s="88">
        <f>P6+P15+P17+P22+P23+P10</f>
        <v>63.5</v>
      </c>
      <c r="Q5" s="88">
        <f>Q6+Q15+Q17+Q22+Q23+Q10</f>
        <v>47.099999999999994</v>
      </c>
      <c r="R5" s="88">
        <f>R6+R15+R17+R22+R23+R10</f>
        <v>44.400000000000006</v>
      </c>
      <c r="T5" s="25"/>
    </row>
    <row r="6" spans="1:20" ht="18">
      <c r="A6" s="9" t="s">
        <v>62</v>
      </c>
      <c r="B6" s="29">
        <v>1010200001</v>
      </c>
      <c r="C6" s="71">
        <f aca="true" t="shared" si="3" ref="C6:H6">C7+C8+C9</f>
        <v>743.4</v>
      </c>
      <c r="D6" s="71">
        <f t="shared" si="3"/>
        <v>0</v>
      </c>
      <c r="E6" s="71">
        <f t="shared" si="3"/>
        <v>743.4</v>
      </c>
      <c r="F6" s="71">
        <f t="shared" si="3"/>
        <v>0</v>
      </c>
      <c r="G6" s="71">
        <f t="shared" si="3"/>
        <v>351.9</v>
      </c>
      <c r="H6" s="71">
        <f t="shared" si="3"/>
        <v>422.5</v>
      </c>
      <c r="I6" s="86">
        <f t="shared" si="1"/>
        <v>0.5683346785041701</v>
      </c>
      <c r="J6" s="86">
        <f>IF(F6&gt;0,H6/F6,0)</f>
        <v>0</v>
      </c>
      <c r="K6" s="92">
        <f>SUM(K7:K9)</f>
        <v>386.4</v>
      </c>
      <c r="L6" s="86">
        <f aca="true" t="shared" si="4" ref="L6:L39">IF(K6&gt;0,H6/K6,0)</f>
        <v>1.0934265010351967</v>
      </c>
      <c r="M6" s="71">
        <f>M7+M8+M9</f>
        <v>70.6</v>
      </c>
      <c r="N6" s="71">
        <f>N7+N8+N9</f>
        <v>81.7</v>
      </c>
      <c r="O6" s="86">
        <f t="shared" si="2"/>
        <v>0.8641370869033047</v>
      </c>
      <c r="P6" s="71">
        <f>P7+P8+P9</f>
        <v>8.700000000000001</v>
      </c>
      <c r="Q6" s="71">
        <f>Q7+Q8+Q9</f>
        <v>10.3</v>
      </c>
      <c r="R6" s="71">
        <f>R7+R8+R9</f>
        <v>8.700000000000001</v>
      </c>
      <c r="T6" s="25"/>
    </row>
    <row r="7" spans="1:20" ht="21" customHeight="1">
      <c r="A7" s="10" t="s">
        <v>43</v>
      </c>
      <c r="B7" s="13">
        <v>1010201001</v>
      </c>
      <c r="C7" s="70">
        <v>741.6</v>
      </c>
      <c r="D7" s="82"/>
      <c r="E7" s="70">
        <f>C7+D7</f>
        <v>741.6</v>
      </c>
      <c r="F7" s="70"/>
      <c r="G7" s="67">
        <v>351.9</v>
      </c>
      <c r="H7" s="67">
        <f>G7+M7</f>
        <v>422.5</v>
      </c>
      <c r="I7" s="76">
        <f t="shared" si="1"/>
        <v>0.5697141316073355</v>
      </c>
      <c r="J7" s="76">
        <f aca="true" t="shared" si="5" ref="J7:J37">IF(F7&gt;0,H7/F7,0)</f>
        <v>0</v>
      </c>
      <c r="K7" s="67">
        <v>386.4</v>
      </c>
      <c r="L7" s="76">
        <f t="shared" si="4"/>
        <v>1.0934265010351967</v>
      </c>
      <c r="M7" s="67">
        <v>70.6</v>
      </c>
      <c r="N7" s="67">
        <v>81.7</v>
      </c>
      <c r="O7" s="76">
        <f t="shared" si="2"/>
        <v>0.8641370869033047</v>
      </c>
      <c r="P7" s="70">
        <v>8.4</v>
      </c>
      <c r="Q7" s="70">
        <v>10</v>
      </c>
      <c r="R7" s="70">
        <v>8.4</v>
      </c>
      <c r="T7" s="170"/>
    </row>
    <row r="8" spans="1:20" ht="18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 t="shared" si="2"/>
        <v>0</v>
      </c>
      <c r="P8" s="70"/>
      <c r="Q8" s="70"/>
      <c r="R8" s="70"/>
      <c r="T8" s="25"/>
    </row>
    <row r="9" spans="1:20" ht="20.25" customHeight="1">
      <c r="A9" s="10" t="s">
        <v>41</v>
      </c>
      <c r="B9" s="13">
        <v>1010203001</v>
      </c>
      <c r="C9" s="70">
        <v>1.8</v>
      </c>
      <c r="D9" s="70"/>
      <c r="E9" s="70">
        <f>C9+D9</f>
        <v>1.8</v>
      </c>
      <c r="F9" s="70"/>
      <c r="G9" s="70"/>
      <c r="H9" s="67">
        <f>G9+M9</f>
        <v>0</v>
      </c>
      <c r="I9" s="76">
        <f t="shared" si="1"/>
        <v>0</v>
      </c>
      <c r="J9" s="76">
        <f t="shared" si="5"/>
        <v>0</v>
      </c>
      <c r="K9" s="70"/>
      <c r="L9" s="76">
        <f t="shared" si="4"/>
        <v>0</v>
      </c>
      <c r="M9" s="70"/>
      <c r="N9" s="70"/>
      <c r="O9" s="76">
        <f t="shared" si="2"/>
        <v>0</v>
      </c>
      <c r="P9" s="70">
        <v>0.3</v>
      </c>
      <c r="Q9" s="70">
        <v>0.3</v>
      </c>
      <c r="R9" s="70">
        <v>0.3</v>
      </c>
      <c r="T9" s="25"/>
    </row>
    <row r="10" spans="1:20" ht="16.5" customHeight="1">
      <c r="A10" s="11" t="s">
        <v>47</v>
      </c>
      <c r="B10" s="19">
        <v>1030200001</v>
      </c>
      <c r="C10" s="71">
        <f aca="true" t="shared" si="6" ref="C10:H10">SUM(C11:C14)</f>
        <v>613.3000000000001</v>
      </c>
      <c r="D10" s="71">
        <f t="shared" si="6"/>
        <v>0</v>
      </c>
      <c r="E10" s="71">
        <f t="shared" si="6"/>
        <v>613.3000000000001</v>
      </c>
      <c r="F10" s="71"/>
      <c r="G10" s="71">
        <f>SUM(G11:G14)</f>
        <v>239.09999999999997</v>
      </c>
      <c r="H10" s="71">
        <f t="shared" si="6"/>
        <v>288.09999999999997</v>
      </c>
      <c r="I10" s="65">
        <f t="shared" si="1"/>
        <v>0.4697537909669003</v>
      </c>
      <c r="J10" s="65">
        <f>IF(F10&gt;0,H10/F10,0)</f>
        <v>0</v>
      </c>
      <c r="K10" s="71">
        <f>SUM(K11:K14)</f>
        <v>248.1</v>
      </c>
      <c r="L10" s="65">
        <f t="shared" si="4"/>
        <v>1.1612253123740426</v>
      </c>
      <c r="M10" s="71">
        <f>SUM(M11:M14)</f>
        <v>49</v>
      </c>
      <c r="N10" s="71">
        <f>SUM(N11:N14)</f>
        <v>36.6</v>
      </c>
      <c r="O10" s="65">
        <f t="shared" si="2"/>
        <v>1.3387978142076502</v>
      </c>
      <c r="P10" s="71">
        <f>SUM(P11:P14)</f>
        <v>0</v>
      </c>
      <c r="Q10" s="71">
        <f>SUM(Q11:Q14)</f>
        <v>0</v>
      </c>
      <c r="R10" s="71">
        <f>SUM(R11:R14)</f>
        <v>0</v>
      </c>
      <c r="T10" s="25"/>
    </row>
    <row r="11" spans="1:20" ht="20.25" customHeight="1">
      <c r="A11" s="12" t="s">
        <v>48</v>
      </c>
      <c r="B11" s="12">
        <v>1030223101</v>
      </c>
      <c r="C11" s="70">
        <v>281.6</v>
      </c>
      <c r="D11" s="70"/>
      <c r="E11" s="66">
        <f>C11+D11</f>
        <v>281.6</v>
      </c>
      <c r="F11" s="66"/>
      <c r="G11" s="70">
        <v>108.3</v>
      </c>
      <c r="H11" s="68">
        <f>G11+M11</f>
        <v>130.2</v>
      </c>
      <c r="I11" s="69">
        <f t="shared" si="1"/>
        <v>0.4623579545454545</v>
      </c>
      <c r="J11" s="69">
        <f>IF(F11&gt;0,H11/F11,0)</f>
        <v>0</v>
      </c>
      <c r="K11" s="70">
        <v>117.6</v>
      </c>
      <c r="L11" s="69">
        <f t="shared" si="4"/>
        <v>1.1071428571428572</v>
      </c>
      <c r="M11" s="70">
        <v>21.9</v>
      </c>
      <c r="N11" s="70">
        <v>18.1</v>
      </c>
      <c r="O11" s="69">
        <f t="shared" si="2"/>
        <v>1.2099447513812154</v>
      </c>
      <c r="P11" s="70"/>
      <c r="Q11" s="70"/>
      <c r="R11" s="70"/>
      <c r="T11" s="25"/>
    </row>
    <row r="12" spans="1:20" ht="18" customHeight="1">
      <c r="A12" s="12" t="s">
        <v>49</v>
      </c>
      <c r="B12" s="12">
        <v>1030224101</v>
      </c>
      <c r="C12" s="70">
        <v>1.6</v>
      </c>
      <c r="D12" s="70"/>
      <c r="E12" s="66">
        <f>C12+D12</f>
        <v>1.6</v>
      </c>
      <c r="F12" s="66"/>
      <c r="G12" s="70">
        <v>0.8</v>
      </c>
      <c r="H12" s="68">
        <f>G12+M12</f>
        <v>1</v>
      </c>
      <c r="I12" s="69">
        <f t="shared" si="1"/>
        <v>0.625</v>
      </c>
      <c r="J12" s="69">
        <f>IF(F12&gt;0,H12/F12,0)</f>
        <v>0</v>
      </c>
      <c r="K12" s="70">
        <v>0.7</v>
      </c>
      <c r="L12" s="69">
        <f t="shared" si="4"/>
        <v>1.4285714285714286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  <c r="T12" s="25"/>
    </row>
    <row r="13" spans="1:20" ht="18" customHeight="1">
      <c r="A13" s="12" t="s">
        <v>50</v>
      </c>
      <c r="B13" s="12">
        <v>1030225101</v>
      </c>
      <c r="C13" s="70">
        <v>370.4</v>
      </c>
      <c r="D13" s="70"/>
      <c r="E13" s="66">
        <f>C13+D13</f>
        <v>370.4</v>
      </c>
      <c r="F13" s="66"/>
      <c r="G13" s="70">
        <v>148.8</v>
      </c>
      <c r="H13" s="68">
        <f>G13+M13</f>
        <v>181.20000000000002</v>
      </c>
      <c r="I13" s="69">
        <f t="shared" si="1"/>
        <v>0.48920086393088563</v>
      </c>
      <c r="J13" s="69">
        <f>IF(F13&gt;0,H13/F13,0)</f>
        <v>0</v>
      </c>
      <c r="K13" s="70">
        <v>153.2</v>
      </c>
      <c r="L13" s="69">
        <f t="shared" si="4"/>
        <v>1.182767624020888</v>
      </c>
      <c r="M13" s="70">
        <v>32.4</v>
      </c>
      <c r="N13" s="70">
        <v>21</v>
      </c>
      <c r="O13" s="69">
        <f t="shared" si="2"/>
        <v>1.5428571428571427</v>
      </c>
      <c r="P13" s="70"/>
      <c r="Q13" s="70"/>
      <c r="R13" s="70"/>
      <c r="T13" s="25"/>
    </row>
    <row r="14" spans="1:20" ht="19.5" customHeight="1">
      <c r="A14" s="12" t="s">
        <v>51</v>
      </c>
      <c r="B14" s="12">
        <v>1030226101</v>
      </c>
      <c r="C14" s="70">
        <v>-40.3</v>
      </c>
      <c r="D14" s="70"/>
      <c r="E14" s="66">
        <f>C14+D14</f>
        <v>-40.3</v>
      </c>
      <c r="F14" s="66"/>
      <c r="G14" s="70">
        <v>-18.8</v>
      </c>
      <c r="H14" s="68">
        <f>G14+M14</f>
        <v>-24.3</v>
      </c>
      <c r="I14" s="69">
        <f>H14/E14</f>
        <v>0.6029776674937966</v>
      </c>
      <c r="J14" s="69">
        <f>IF(F14&gt;0,H14/F14,0)</f>
        <v>0</v>
      </c>
      <c r="K14" s="70">
        <v>-23.4</v>
      </c>
      <c r="L14" s="69">
        <f t="shared" si="4"/>
        <v>0</v>
      </c>
      <c r="M14" s="70">
        <v>-5.5</v>
      </c>
      <c r="N14" s="70">
        <v>-2.6</v>
      </c>
      <c r="O14" s="69">
        <f t="shared" si="2"/>
        <v>0</v>
      </c>
      <c r="P14" s="70"/>
      <c r="Q14" s="70"/>
      <c r="R14" s="70"/>
      <c r="T14" s="25"/>
    </row>
    <row r="15" spans="1:20" ht="18">
      <c r="A15" s="9" t="s">
        <v>69</v>
      </c>
      <c r="B15" s="29">
        <v>1050000000</v>
      </c>
      <c r="C15" s="71">
        <f aca="true" t="shared" si="7" ref="C15:H15">C16</f>
        <v>125</v>
      </c>
      <c r="D15" s="72">
        <f t="shared" si="7"/>
        <v>0</v>
      </c>
      <c r="E15" s="72">
        <f t="shared" si="7"/>
        <v>125</v>
      </c>
      <c r="F15" s="72">
        <f t="shared" si="7"/>
        <v>0</v>
      </c>
      <c r="G15" s="71">
        <f>G16</f>
        <v>32.9</v>
      </c>
      <c r="H15" s="72">
        <f t="shared" si="7"/>
        <v>32.9</v>
      </c>
      <c r="I15" s="86">
        <f t="shared" si="1"/>
        <v>0.2632</v>
      </c>
      <c r="J15" s="86">
        <f t="shared" si="5"/>
        <v>0</v>
      </c>
      <c r="K15" s="71">
        <f>K16</f>
        <v>72.7</v>
      </c>
      <c r="L15" s="86">
        <f t="shared" si="4"/>
        <v>0.452544704264099</v>
      </c>
      <c r="M15" s="71">
        <f>M16</f>
        <v>0</v>
      </c>
      <c r="N15" s="71">
        <f>N16</f>
        <v>12.2</v>
      </c>
      <c r="O15" s="86">
        <f t="shared" si="2"/>
        <v>0</v>
      </c>
      <c r="P15" s="71">
        <f>P16</f>
        <v>0</v>
      </c>
      <c r="Q15" s="71">
        <f>Q16</f>
        <v>0</v>
      </c>
      <c r="R15" s="71">
        <f>R16</f>
        <v>0</v>
      </c>
      <c r="T15" s="25"/>
    </row>
    <row r="16" spans="1:20" ht="18">
      <c r="A16" s="13" t="s">
        <v>7</v>
      </c>
      <c r="B16" s="13">
        <v>1050300001</v>
      </c>
      <c r="C16" s="70">
        <v>125</v>
      </c>
      <c r="D16" s="67"/>
      <c r="E16" s="70">
        <f>C16+D16</f>
        <v>125</v>
      </c>
      <c r="F16" s="70"/>
      <c r="G16" s="70">
        <v>32.9</v>
      </c>
      <c r="H16" s="67">
        <f>G16+M16</f>
        <v>32.9</v>
      </c>
      <c r="I16" s="76">
        <f t="shared" si="1"/>
        <v>0.2632</v>
      </c>
      <c r="J16" s="76">
        <f t="shared" si="5"/>
        <v>0</v>
      </c>
      <c r="K16" s="70">
        <v>72.7</v>
      </c>
      <c r="L16" s="76">
        <f t="shared" si="4"/>
        <v>0.452544704264099</v>
      </c>
      <c r="M16" s="70"/>
      <c r="N16" s="70">
        <v>12.2</v>
      </c>
      <c r="O16" s="76">
        <f t="shared" si="2"/>
        <v>0</v>
      </c>
      <c r="P16" s="70"/>
      <c r="Q16" s="70"/>
      <c r="R16" s="70"/>
      <c r="T16" s="25"/>
    </row>
    <row r="17" spans="1:20" ht="18">
      <c r="A17" s="9" t="s">
        <v>70</v>
      </c>
      <c r="B17" s="29">
        <v>1060000000</v>
      </c>
      <c r="C17" s="71">
        <f aca="true" t="shared" si="8" ref="C17:H17">C18+C21</f>
        <v>254</v>
      </c>
      <c r="D17" s="72">
        <f t="shared" si="8"/>
        <v>0</v>
      </c>
      <c r="E17" s="72">
        <f t="shared" si="8"/>
        <v>254</v>
      </c>
      <c r="F17" s="72">
        <f t="shared" si="8"/>
        <v>0</v>
      </c>
      <c r="G17" s="71">
        <f>G18+G21</f>
        <v>43.400000000000006</v>
      </c>
      <c r="H17" s="72">
        <f t="shared" si="8"/>
        <v>84.4</v>
      </c>
      <c r="I17" s="86">
        <f t="shared" si="1"/>
        <v>0.33228346456692914</v>
      </c>
      <c r="J17" s="86">
        <f t="shared" si="5"/>
        <v>0</v>
      </c>
      <c r="K17" s="71">
        <f>K18+K21</f>
        <v>63.599999999999994</v>
      </c>
      <c r="L17" s="86">
        <f t="shared" si="4"/>
        <v>1.3270440251572329</v>
      </c>
      <c r="M17" s="71">
        <f>M18+M21</f>
        <v>41</v>
      </c>
      <c r="N17" s="71">
        <f>N18+N21</f>
        <v>0.6</v>
      </c>
      <c r="O17" s="86">
        <f t="shared" si="2"/>
        <v>68.33333333333334</v>
      </c>
      <c r="P17" s="71">
        <f>P18+P21</f>
        <v>54.8</v>
      </c>
      <c r="Q17" s="71">
        <f>Q18+Q21</f>
        <v>36.8</v>
      </c>
      <c r="R17" s="71">
        <f>R18+R21</f>
        <v>35.7</v>
      </c>
      <c r="T17" s="25"/>
    </row>
    <row r="18" spans="1:20" ht="18">
      <c r="A18" s="13" t="s">
        <v>13</v>
      </c>
      <c r="B18" s="13">
        <v>1060600000</v>
      </c>
      <c r="C18" s="70">
        <f aca="true" t="shared" si="9" ref="C18:H18">C19+C20</f>
        <v>189</v>
      </c>
      <c r="D18" s="67">
        <f t="shared" si="9"/>
        <v>0</v>
      </c>
      <c r="E18" s="67">
        <f t="shared" si="9"/>
        <v>189</v>
      </c>
      <c r="F18" s="67">
        <f t="shared" si="9"/>
        <v>0</v>
      </c>
      <c r="G18" s="67">
        <f>G19+G20</f>
        <v>35.1</v>
      </c>
      <c r="H18" s="67">
        <f t="shared" si="9"/>
        <v>76</v>
      </c>
      <c r="I18" s="76">
        <f t="shared" si="1"/>
        <v>0.4021164021164021</v>
      </c>
      <c r="J18" s="76">
        <f t="shared" si="5"/>
        <v>0</v>
      </c>
      <c r="K18" s="67">
        <f>K19+K20</f>
        <v>61.8</v>
      </c>
      <c r="L18" s="76">
        <f t="shared" si="4"/>
        <v>1.2297734627831716</v>
      </c>
      <c r="M18" s="67">
        <f>M19+M20</f>
        <v>40.9</v>
      </c>
      <c r="N18" s="67">
        <f>N19+N20</f>
        <v>0.3</v>
      </c>
      <c r="O18" s="76">
        <f t="shared" si="2"/>
        <v>136.33333333333334</v>
      </c>
      <c r="P18" s="70">
        <f>P19+P20</f>
        <v>34.8</v>
      </c>
      <c r="Q18" s="70">
        <f>Q19+Q20</f>
        <v>26.2</v>
      </c>
      <c r="R18" s="70">
        <f>R19+R20</f>
        <v>25.2</v>
      </c>
      <c r="T18" s="25"/>
    </row>
    <row r="19" spans="1:20" ht="18">
      <c r="A19" s="13" t="s">
        <v>99</v>
      </c>
      <c r="B19" s="13">
        <v>1060603310</v>
      </c>
      <c r="C19" s="70">
        <v>85</v>
      </c>
      <c r="D19" s="67"/>
      <c r="E19" s="70">
        <f>C19+D19</f>
        <v>85</v>
      </c>
      <c r="F19" s="70"/>
      <c r="G19" s="70">
        <v>29</v>
      </c>
      <c r="H19" s="67">
        <f>G19+M19</f>
        <v>68.8</v>
      </c>
      <c r="I19" s="76">
        <f t="shared" si="1"/>
        <v>0.8094117647058823</v>
      </c>
      <c r="J19" s="76">
        <f t="shared" si="5"/>
        <v>0</v>
      </c>
      <c r="K19" s="70">
        <v>52.1</v>
      </c>
      <c r="L19" s="76">
        <f t="shared" si="4"/>
        <v>1.3205374280230326</v>
      </c>
      <c r="M19" s="70">
        <v>39.8</v>
      </c>
      <c r="N19" s="70"/>
      <c r="O19" s="76">
        <f t="shared" si="2"/>
        <v>0</v>
      </c>
      <c r="P19" s="70"/>
      <c r="Q19" s="70"/>
      <c r="R19" s="70"/>
      <c r="T19" s="25"/>
    </row>
    <row r="20" spans="1:20" ht="18">
      <c r="A20" s="13" t="s">
        <v>100</v>
      </c>
      <c r="B20" s="13">
        <v>1060604310</v>
      </c>
      <c r="C20" s="70">
        <v>104</v>
      </c>
      <c r="D20" s="67"/>
      <c r="E20" s="70">
        <f>C20+D20</f>
        <v>104</v>
      </c>
      <c r="F20" s="70"/>
      <c r="G20" s="70">
        <v>6.1</v>
      </c>
      <c r="H20" s="67">
        <f>G20+M20</f>
        <v>7.199999999999999</v>
      </c>
      <c r="I20" s="76">
        <f t="shared" si="1"/>
        <v>0.06923076923076922</v>
      </c>
      <c r="J20" s="76">
        <f t="shared" si="5"/>
        <v>0</v>
      </c>
      <c r="K20" s="70">
        <v>9.7</v>
      </c>
      <c r="L20" s="76">
        <f t="shared" si="4"/>
        <v>0.7422680412371134</v>
      </c>
      <c r="M20" s="70">
        <v>1.1</v>
      </c>
      <c r="N20" s="70">
        <v>0.3</v>
      </c>
      <c r="O20" s="76">
        <f t="shared" si="2"/>
        <v>3.666666666666667</v>
      </c>
      <c r="P20" s="70">
        <v>34.8</v>
      </c>
      <c r="Q20" s="70">
        <v>26.2</v>
      </c>
      <c r="R20" s="70">
        <v>25.2</v>
      </c>
      <c r="T20" s="25"/>
    </row>
    <row r="21" spans="1:20" ht="18">
      <c r="A21" s="13" t="s">
        <v>12</v>
      </c>
      <c r="B21" s="13">
        <v>1060103010</v>
      </c>
      <c r="C21" s="70">
        <v>65</v>
      </c>
      <c r="D21" s="67"/>
      <c r="E21" s="70">
        <f>C21+D21</f>
        <v>65</v>
      </c>
      <c r="F21" s="70"/>
      <c r="G21" s="70">
        <v>8.3</v>
      </c>
      <c r="H21" s="67">
        <f>G21+M21</f>
        <v>8.4</v>
      </c>
      <c r="I21" s="76">
        <f t="shared" si="1"/>
        <v>0.12923076923076923</v>
      </c>
      <c r="J21" s="76">
        <f t="shared" si="5"/>
        <v>0</v>
      </c>
      <c r="K21" s="70">
        <v>1.8</v>
      </c>
      <c r="L21" s="76">
        <f t="shared" si="4"/>
        <v>4.666666666666667</v>
      </c>
      <c r="M21" s="70">
        <v>0.1</v>
      </c>
      <c r="N21" s="70">
        <v>0.3</v>
      </c>
      <c r="O21" s="76">
        <f t="shared" si="2"/>
        <v>0.33333333333333337</v>
      </c>
      <c r="P21" s="70">
        <v>20</v>
      </c>
      <c r="Q21" s="70">
        <v>10.6</v>
      </c>
      <c r="R21" s="70">
        <v>10.5</v>
      </c>
      <c r="T21" s="170"/>
    </row>
    <row r="22" spans="1:20" ht="17.25" customHeight="1">
      <c r="A22" s="9" t="s">
        <v>71</v>
      </c>
      <c r="B22" s="29">
        <v>1080402001</v>
      </c>
      <c r="C22" s="71">
        <v>5</v>
      </c>
      <c r="D22" s="72">
        <v>10</v>
      </c>
      <c r="E22" s="71">
        <f>C22+D22</f>
        <v>15</v>
      </c>
      <c r="F22" s="71"/>
      <c r="G22" s="71">
        <v>3.6</v>
      </c>
      <c r="H22" s="72">
        <f>G22+M22</f>
        <v>4.2</v>
      </c>
      <c r="I22" s="86">
        <f t="shared" si="1"/>
        <v>0.28</v>
      </c>
      <c r="J22" s="86">
        <f t="shared" si="5"/>
        <v>0</v>
      </c>
      <c r="K22" s="71">
        <v>11.7</v>
      </c>
      <c r="L22" s="86">
        <f t="shared" si="4"/>
        <v>0.35897435897435903</v>
      </c>
      <c r="M22" s="71">
        <v>0.6</v>
      </c>
      <c r="N22" s="71">
        <v>0.7</v>
      </c>
      <c r="O22" s="86">
        <f t="shared" si="2"/>
        <v>0.8571428571428572</v>
      </c>
      <c r="P22" s="71"/>
      <c r="Q22" s="71"/>
      <c r="R22" s="71"/>
      <c r="T22" s="25"/>
    </row>
    <row r="23" spans="1:20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5"/>
        <v>0</v>
      </c>
      <c r="K23" s="71"/>
      <c r="L23" s="86">
        <f t="shared" si="4"/>
        <v>0</v>
      </c>
      <c r="M23" s="71"/>
      <c r="N23" s="71"/>
      <c r="O23" s="86">
        <f t="shared" si="2"/>
        <v>0</v>
      </c>
      <c r="P23" s="71"/>
      <c r="Q23" s="71"/>
      <c r="R23" s="71"/>
      <c r="T23" s="25"/>
    </row>
    <row r="24" spans="1:20" ht="18">
      <c r="A24" s="31" t="s">
        <v>22</v>
      </c>
      <c r="B24" s="31"/>
      <c r="C24" s="85">
        <f aca="true" t="shared" si="10" ref="C24:H24">C25+C28+C32+C29+C31+C30</f>
        <v>900</v>
      </c>
      <c r="D24" s="85">
        <f t="shared" si="10"/>
        <v>1230.6770000000001</v>
      </c>
      <c r="E24" s="85">
        <f t="shared" si="10"/>
        <v>2130.677</v>
      </c>
      <c r="F24" s="85">
        <f t="shared" si="10"/>
        <v>0</v>
      </c>
      <c r="G24" s="85">
        <f>G25+G28+G32+G29+G31+G30</f>
        <v>237.9</v>
      </c>
      <c r="H24" s="85">
        <f t="shared" si="10"/>
        <v>317.7</v>
      </c>
      <c r="I24" s="89">
        <f t="shared" si="1"/>
        <v>0.14910753718184405</v>
      </c>
      <c r="J24" s="89">
        <f t="shared" si="5"/>
        <v>0</v>
      </c>
      <c r="K24" s="85">
        <f>K25+K28+K32+K29+K31+K30</f>
        <v>291.4</v>
      </c>
      <c r="L24" s="89">
        <f t="shared" si="4"/>
        <v>1.0902539464653398</v>
      </c>
      <c r="M24" s="85">
        <f>M25+M28+M32+M29+M31+M30</f>
        <v>79.8</v>
      </c>
      <c r="N24" s="85">
        <f>N25+N28+N32+N29+N31+N30</f>
        <v>45.1</v>
      </c>
      <c r="O24" s="89">
        <f t="shared" si="2"/>
        <v>1.76940133037694</v>
      </c>
      <c r="P24" s="75">
        <f>P25+P28+P32+P29</f>
        <v>0</v>
      </c>
      <c r="Q24" s="75">
        <f>Q25+Q28+Q32+Q29</f>
        <v>0</v>
      </c>
      <c r="R24" s="75">
        <f>R25+R28+R32+R29</f>
        <v>0</v>
      </c>
      <c r="T24" s="25"/>
    </row>
    <row r="25" spans="1:20" ht="18">
      <c r="A25" s="9" t="s">
        <v>73</v>
      </c>
      <c r="B25" s="29">
        <v>1110000000</v>
      </c>
      <c r="C25" s="71">
        <f aca="true" t="shared" si="11" ref="C25:H25">C26+C27</f>
        <v>100</v>
      </c>
      <c r="D25" s="71">
        <f t="shared" si="11"/>
        <v>800</v>
      </c>
      <c r="E25" s="71">
        <f t="shared" si="11"/>
        <v>900</v>
      </c>
      <c r="F25" s="71">
        <f t="shared" si="11"/>
        <v>0</v>
      </c>
      <c r="G25" s="71">
        <f>G26+G27</f>
        <v>28.4</v>
      </c>
      <c r="H25" s="71">
        <f t="shared" si="11"/>
        <v>53.3</v>
      </c>
      <c r="I25" s="86">
        <f t="shared" si="1"/>
        <v>0.05922222222222222</v>
      </c>
      <c r="J25" s="86">
        <f t="shared" si="5"/>
        <v>0</v>
      </c>
      <c r="K25" s="71">
        <f>K26+K27</f>
        <v>57.2</v>
      </c>
      <c r="L25" s="86">
        <f t="shared" si="4"/>
        <v>0.9318181818181818</v>
      </c>
      <c r="M25" s="71">
        <f>M26+M27</f>
        <v>24.9</v>
      </c>
      <c r="N25" s="71">
        <f>N26+N27</f>
        <v>6.1</v>
      </c>
      <c r="O25" s="86">
        <f t="shared" si="2"/>
        <v>4.081967213114754</v>
      </c>
      <c r="P25" s="71">
        <f>P26+P27</f>
        <v>0</v>
      </c>
      <c r="Q25" s="71">
        <f>Q26+Q27</f>
        <v>0</v>
      </c>
      <c r="R25" s="71">
        <f>R26+R27</f>
        <v>0</v>
      </c>
      <c r="T25" s="25"/>
    </row>
    <row r="26" spans="1:20" ht="19.5" customHeight="1">
      <c r="A26" s="13" t="s">
        <v>105</v>
      </c>
      <c r="B26" s="13">
        <v>1110502510</v>
      </c>
      <c r="C26" s="70"/>
      <c r="D26" s="67"/>
      <c r="E26" s="70">
        <f aca="true" t="shared" si="12" ref="E26:E31">C26+D26</f>
        <v>0</v>
      </c>
      <c r="F26" s="70"/>
      <c r="G26" s="70"/>
      <c r="H26" s="67">
        <f aca="true" t="shared" si="13" ref="H26:H31">G26+M26</f>
        <v>0</v>
      </c>
      <c r="I26" s="76">
        <f t="shared" si="1"/>
        <v>0</v>
      </c>
      <c r="J26" s="76">
        <f t="shared" si="5"/>
        <v>0</v>
      </c>
      <c r="K26" s="70"/>
      <c r="L26" s="76">
        <f t="shared" si="4"/>
        <v>0</v>
      </c>
      <c r="M26" s="70"/>
      <c r="N26" s="70"/>
      <c r="O26" s="76">
        <f t="shared" si="2"/>
        <v>0</v>
      </c>
      <c r="P26" s="70"/>
      <c r="Q26" s="70"/>
      <c r="R26" s="70"/>
      <c r="T26" s="25"/>
    </row>
    <row r="27" spans="1:20" ht="18">
      <c r="A27" s="32" t="s">
        <v>23</v>
      </c>
      <c r="B27" s="13">
        <v>1110904510</v>
      </c>
      <c r="C27" s="70">
        <v>100</v>
      </c>
      <c r="D27" s="82">
        <f>800</f>
        <v>800</v>
      </c>
      <c r="E27" s="70">
        <f t="shared" si="12"/>
        <v>900</v>
      </c>
      <c r="F27" s="70"/>
      <c r="G27" s="70">
        <v>28.4</v>
      </c>
      <c r="H27" s="67">
        <f t="shared" si="13"/>
        <v>53.3</v>
      </c>
      <c r="I27" s="76">
        <f t="shared" si="1"/>
        <v>0.05922222222222222</v>
      </c>
      <c r="J27" s="76">
        <f t="shared" si="5"/>
        <v>0</v>
      </c>
      <c r="K27" s="70">
        <v>57.2</v>
      </c>
      <c r="L27" s="76">
        <f t="shared" si="4"/>
        <v>0.9318181818181818</v>
      </c>
      <c r="M27" s="70">
        <v>24.9</v>
      </c>
      <c r="N27" s="70">
        <v>6.1</v>
      </c>
      <c r="O27" s="76">
        <f t="shared" si="2"/>
        <v>4.081967213114754</v>
      </c>
      <c r="P27" s="70"/>
      <c r="Q27" s="70"/>
      <c r="R27" s="70"/>
      <c r="T27" s="25"/>
    </row>
    <row r="28" spans="1:20" ht="18">
      <c r="A28" s="9" t="s">
        <v>38</v>
      </c>
      <c r="B28" s="29">
        <v>1130299510</v>
      </c>
      <c r="C28" s="71">
        <v>800</v>
      </c>
      <c r="D28" s="71">
        <f>1064.577-633.9</f>
        <v>430.677</v>
      </c>
      <c r="E28" s="71">
        <f t="shared" si="12"/>
        <v>1230.6770000000001</v>
      </c>
      <c r="F28" s="71"/>
      <c r="G28" s="71">
        <v>202.3</v>
      </c>
      <c r="H28" s="72">
        <f t="shared" si="13"/>
        <v>257.2</v>
      </c>
      <c r="I28" s="86">
        <f t="shared" si="1"/>
        <v>0.20899066123767646</v>
      </c>
      <c r="J28" s="86">
        <f t="shared" si="5"/>
        <v>0</v>
      </c>
      <c r="K28" s="71">
        <v>234</v>
      </c>
      <c r="L28" s="86">
        <f t="shared" si="4"/>
        <v>1.099145299145299</v>
      </c>
      <c r="M28" s="71">
        <v>54.9</v>
      </c>
      <c r="N28" s="71">
        <v>39</v>
      </c>
      <c r="O28" s="86">
        <f t="shared" si="2"/>
        <v>1.4076923076923076</v>
      </c>
      <c r="P28" s="71"/>
      <c r="Q28" s="71"/>
      <c r="R28" s="71"/>
      <c r="T28" s="25"/>
    </row>
    <row r="29" spans="1:20" ht="18">
      <c r="A29" s="9" t="s">
        <v>75</v>
      </c>
      <c r="B29" s="29">
        <v>1140601410</v>
      </c>
      <c r="C29" s="71"/>
      <c r="D29" s="71"/>
      <c r="E29" s="71">
        <f t="shared" si="12"/>
        <v>0</v>
      </c>
      <c r="F29" s="71"/>
      <c r="G29" s="71"/>
      <c r="H29" s="72">
        <f t="shared" si="13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4"/>
        <v>0</v>
      </c>
      <c r="M29" s="71"/>
      <c r="N29" s="71"/>
      <c r="O29" s="86">
        <f t="shared" si="2"/>
        <v>0</v>
      </c>
      <c r="P29" s="71"/>
      <c r="Q29" s="71"/>
      <c r="R29" s="71"/>
      <c r="T29" s="25"/>
    </row>
    <row r="30" spans="1:20" ht="18">
      <c r="A30" s="9" t="s">
        <v>74</v>
      </c>
      <c r="B30" s="29">
        <v>1140205310</v>
      </c>
      <c r="C30" s="71"/>
      <c r="D30" s="71"/>
      <c r="E30" s="71">
        <f t="shared" si="12"/>
        <v>0</v>
      </c>
      <c r="F30" s="71"/>
      <c r="G30" s="71"/>
      <c r="H30" s="72">
        <f t="shared" si="13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  <c r="T30" s="25"/>
    </row>
    <row r="31" spans="1:20" ht="18">
      <c r="A31" s="9" t="s">
        <v>78</v>
      </c>
      <c r="B31" s="29">
        <v>1169005010</v>
      </c>
      <c r="C31" s="71"/>
      <c r="D31" s="71"/>
      <c r="E31" s="71">
        <f t="shared" si="12"/>
        <v>0</v>
      </c>
      <c r="F31" s="71"/>
      <c r="G31" s="71">
        <v>7.2</v>
      </c>
      <c r="H31" s="72">
        <f t="shared" si="13"/>
        <v>7.2</v>
      </c>
      <c r="I31" s="86">
        <f>IF(E31&gt;0,H31/E31,0)</f>
        <v>0</v>
      </c>
      <c r="J31" s="86">
        <f>IF(F31&gt;0,H31/F31,0)</f>
        <v>0</v>
      </c>
      <c r="K31" s="71"/>
      <c r="L31" s="86">
        <f t="shared" si="4"/>
        <v>0</v>
      </c>
      <c r="M31" s="71"/>
      <c r="N31" s="71"/>
      <c r="O31" s="86">
        <f t="shared" si="2"/>
        <v>0</v>
      </c>
      <c r="P31" s="71"/>
      <c r="Q31" s="71"/>
      <c r="R31" s="71"/>
      <c r="T31" s="25"/>
    </row>
    <row r="32" spans="1:20" ht="18">
      <c r="A32" s="9" t="s">
        <v>68</v>
      </c>
      <c r="B32" s="29">
        <v>1170000000</v>
      </c>
      <c r="C32" s="71">
        <f>SUM(C33:C34)</f>
        <v>0</v>
      </c>
      <c r="D32" s="71">
        <f aca="true" t="shared" si="14" ref="D32:R32">SUM(D33:D34)</f>
        <v>0</v>
      </c>
      <c r="E32" s="71">
        <f t="shared" si="14"/>
        <v>0</v>
      </c>
      <c r="F32" s="71">
        <f t="shared" si="14"/>
        <v>0</v>
      </c>
      <c r="G32" s="71">
        <f>SUM(G33:G34)</f>
        <v>0</v>
      </c>
      <c r="H32" s="71">
        <f t="shared" si="14"/>
        <v>0</v>
      </c>
      <c r="I32" s="86">
        <f>IF(E32&gt;0,H32/E32,0)</f>
        <v>0</v>
      </c>
      <c r="J32" s="86">
        <f>IF(F32&gt;0,H32/F32,0)</f>
        <v>0</v>
      </c>
      <c r="K32" s="71">
        <f>SUM(K33:K34)</f>
        <v>0.2</v>
      </c>
      <c r="L32" s="86">
        <f t="shared" si="4"/>
        <v>0</v>
      </c>
      <c r="M32" s="71">
        <f t="shared" si="14"/>
        <v>0</v>
      </c>
      <c r="N32" s="71">
        <f t="shared" si="14"/>
        <v>0</v>
      </c>
      <c r="O32" s="86">
        <f t="shared" si="2"/>
        <v>0</v>
      </c>
      <c r="P32" s="71">
        <f t="shared" si="14"/>
        <v>0</v>
      </c>
      <c r="Q32" s="71">
        <f>SUM(Q33:Q34)</f>
        <v>0</v>
      </c>
      <c r="R32" s="71">
        <f t="shared" si="14"/>
        <v>0</v>
      </c>
      <c r="T32" s="25"/>
    </row>
    <row r="33" spans="1:20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5"/>
        <v>0</v>
      </c>
      <c r="K33" s="70"/>
      <c r="L33" s="76">
        <f t="shared" si="4"/>
        <v>0</v>
      </c>
      <c r="M33" s="70"/>
      <c r="N33" s="70"/>
      <c r="O33" s="76">
        <f t="shared" si="2"/>
        <v>0</v>
      </c>
      <c r="P33" s="76"/>
      <c r="Q33" s="76"/>
      <c r="R33" s="76"/>
      <c r="T33" s="25"/>
    </row>
    <row r="34" spans="1:20" ht="18">
      <c r="A34" s="13" t="s">
        <v>33</v>
      </c>
      <c r="B34" s="13">
        <v>1170505010</v>
      </c>
      <c r="C34" s="70"/>
      <c r="D34" s="67"/>
      <c r="E34" s="70">
        <f>C34+D34</f>
        <v>0</v>
      </c>
      <c r="F34" s="70"/>
      <c r="G34" s="70"/>
      <c r="H34" s="67">
        <f>G34+M34</f>
        <v>0</v>
      </c>
      <c r="I34" s="76">
        <f>IF(E34&gt;0,H34/E34,0)</f>
        <v>0</v>
      </c>
      <c r="J34" s="76">
        <f>IF(F34&gt;0,H34/F34,0)</f>
        <v>0</v>
      </c>
      <c r="K34" s="70">
        <v>0.2</v>
      </c>
      <c r="L34" s="76">
        <f>IF(K34&gt;0,H34/K34,0)</f>
        <v>0</v>
      </c>
      <c r="M34" s="70"/>
      <c r="N34" s="70"/>
      <c r="O34" s="76">
        <f>IF(N34&gt;0,M34/N34,0)</f>
        <v>0</v>
      </c>
      <c r="P34" s="70"/>
      <c r="Q34" s="70"/>
      <c r="R34" s="70"/>
      <c r="T34" s="25"/>
    </row>
    <row r="35" spans="1:20" ht="18">
      <c r="A35" s="9" t="s">
        <v>6</v>
      </c>
      <c r="B35" s="9">
        <v>1000000000</v>
      </c>
      <c r="C35" s="78">
        <f aca="true" t="shared" si="15" ref="C35:H35">C5+C24</f>
        <v>2640.7000000000003</v>
      </c>
      <c r="D35" s="77">
        <f t="shared" si="15"/>
        <v>1240.6770000000001</v>
      </c>
      <c r="E35" s="77">
        <f t="shared" si="15"/>
        <v>3881.3770000000004</v>
      </c>
      <c r="F35" s="78">
        <f t="shared" si="15"/>
        <v>0</v>
      </c>
      <c r="G35" s="78">
        <f>G5+G24</f>
        <v>908.7999999999998</v>
      </c>
      <c r="H35" s="78">
        <f t="shared" si="15"/>
        <v>1149.8</v>
      </c>
      <c r="I35" s="90">
        <f t="shared" si="1"/>
        <v>0.29623507327425286</v>
      </c>
      <c r="J35" s="90">
        <f t="shared" si="5"/>
        <v>0</v>
      </c>
      <c r="K35" s="78">
        <f>K5+K24</f>
        <v>1073.9</v>
      </c>
      <c r="L35" s="90">
        <f t="shared" si="4"/>
        <v>1.0706769717850824</v>
      </c>
      <c r="M35" s="78">
        <f>M5+M24</f>
        <v>241</v>
      </c>
      <c r="N35" s="78">
        <f>N5+N24</f>
        <v>176.9</v>
      </c>
      <c r="O35" s="90">
        <f t="shared" si="2"/>
        <v>1.362351611079706</v>
      </c>
      <c r="P35" s="78">
        <f>P5+P24</f>
        <v>63.5</v>
      </c>
      <c r="Q35" s="78">
        <f>Q5+Q24</f>
        <v>47.099999999999994</v>
      </c>
      <c r="R35" s="78">
        <f>R5+R24</f>
        <v>44.400000000000006</v>
      </c>
      <c r="T35" s="25"/>
    </row>
    <row r="36" spans="1:20" ht="18">
      <c r="A36" s="9" t="s">
        <v>91</v>
      </c>
      <c r="B36" s="9"/>
      <c r="C36" s="78">
        <f aca="true" t="shared" si="16" ref="C36:H36">C35-C10</f>
        <v>2027.4</v>
      </c>
      <c r="D36" s="77">
        <f t="shared" si="16"/>
        <v>1240.6770000000001</v>
      </c>
      <c r="E36" s="77">
        <f t="shared" si="16"/>
        <v>3268.077</v>
      </c>
      <c r="F36" s="78">
        <f t="shared" si="16"/>
        <v>0</v>
      </c>
      <c r="G36" s="78">
        <f>G35-G10</f>
        <v>669.6999999999998</v>
      </c>
      <c r="H36" s="78">
        <f t="shared" si="16"/>
        <v>861.7</v>
      </c>
      <c r="I36" s="90">
        <f>IF(E36&gt;0,H36/E36,0)</f>
        <v>0.2636718779881869</v>
      </c>
      <c r="J36" s="90">
        <f>IF(F36&gt;0,H36/F36,0)</f>
        <v>0</v>
      </c>
      <c r="K36" s="78">
        <f>K35-K10</f>
        <v>825.8000000000001</v>
      </c>
      <c r="L36" s="90">
        <f t="shared" si="4"/>
        <v>1.0434729958827802</v>
      </c>
      <c r="M36" s="78">
        <f>M35-M10</f>
        <v>192</v>
      </c>
      <c r="N36" s="78">
        <f>N35-N10</f>
        <v>140.3</v>
      </c>
      <c r="O36" s="90">
        <f t="shared" si="2"/>
        <v>1.3684960798289378</v>
      </c>
      <c r="P36" s="78"/>
      <c r="Q36" s="78"/>
      <c r="R36" s="78"/>
      <c r="T36" s="172"/>
    </row>
    <row r="37" spans="1:20" ht="18">
      <c r="A37" s="13" t="s">
        <v>25</v>
      </c>
      <c r="B37" s="13">
        <v>2000000000</v>
      </c>
      <c r="C37" s="82">
        <v>4399.5</v>
      </c>
      <c r="D37" s="82">
        <f>638+3459.5+490.9</f>
        <v>4588.4</v>
      </c>
      <c r="E37" s="82">
        <f>C37+D37</f>
        <v>8987.9</v>
      </c>
      <c r="F37" s="70"/>
      <c r="G37" s="70">
        <v>1583</v>
      </c>
      <c r="H37" s="67">
        <f>G37+M37</f>
        <v>1900.6</v>
      </c>
      <c r="I37" s="76">
        <f t="shared" si="1"/>
        <v>0.21146207679213164</v>
      </c>
      <c r="J37" s="76">
        <f t="shared" si="5"/>
        <v>0</v>
      </c>
      <c r="K37" s="70">
        <v>1146.1</v>
      </c>
      <c r="L37" s="76">
        <f t="shared" si="4"/>
        <v>1.6583195183666348</v>
      </c>
      <c r="M37" s="70">
        <v>317.6</v>
      </c>
      <c r="N37" s="70">
        <v>216.8</v>
      </c>
      <c r="O37" s="76">
        <f t="shared" si="2"/>
        <v>1.4649446494464944</v>
      </c>
      <c r="P37" s="70"/>
      <c r="Q37" s="70"/>
      <c r="R37" s="70"/>
      <c r="T37" s="25"/>
    </row>
    <row r="38" spans="1:20" ht="18">
      <c r="A38" s="13" t="s">
        <v>45</v>
      </c>
      <c r="B38" s="33" t="s">
        <v>101</v>
      </c>
      <c r="C38" s="70"/>
      <c r="D38" s="81">
        <f>7.4+42.3+25</f>
        <v>74.69999999999999</v>
      </c>
      <c r="E38" s="70">
        <f>C38+D38</f>
        <v>74.69999999999999</v>
      </c>
      <c r="F38" s="70"/>
      <c r="G38" s="70">
        <v>33.7</v>
      </c>
      <c r="H38" s="67">
        <f>G38+M38</f>
        <v>33.7</v>
      </c>
      <c r="I38" s="76">
        <f>IF(E38&gt;0,H38/E38,0)</f>
        <v>0.45113788487282475</v>
      </c>
      <c r="J38" s="76">
        <f>IF(F38&gt;0,H38/F38,0)</f>
        <v>0</v>
      </c>
      <c r="K38" s="70"/>
      <c r="L38" s="76">
        <f t="shared" si="4"/>
        <v>0</v>
      </c>
      <c r="M38" s="70"/>
      <c r="N38" s="70"/>
      <c r="O38" s="76">
        <f t="shared" si="2"/>
        <v>0</v>
      </c>
      <c r="P38" s="70"/>
      <c r="Q38" s="70"/>
      <c r="R38" s="70"/>
      <c r="T38" s="25"/>
    </row>
    <row r="39" spans="1:20" ht="18">
      <c r="A39" s="9" t="s">
        <v>2</v>
      </c>
      <c r="B39" s="9">
        <v>0</v>
      </c>
      <c r="C39" s="77">
        <f aca="true" t="shared" si="17" ref="C39:H39">C35+C37+C38</f>
        <v>7040.200000000001</v>
      </c>
      <c r="D39" s="87">
        <f t="shared" si="17"/>
        <v>5903.776999999999</v>
      </c>
      <c r="E39" s="77">
        <f t="shared" si="17"/>
        <v>12943.977</v>
      </c>
      <c r="F39" s="78">
        <f t="shared" si="17"/>
        <v>0</v>
      </c>
      <c r="G39" s="78">
        <f t="shared" si="17"/>
        <v>2525.4999999999995</v>
      </c>
      <c r="H39" s="78">
        <f t="shared" si="17"/>
        <v>3084.0999999999995</v>
      </c>
      <c r="I39" s="90">
        <f t="shared" si="1"/>
        <v>0.23826525649728822</v>
      </c>
      <c r="J39" s="90"/>
      <c r="K39" s="78">
        <f>K35+K37+K38</f>
        <v>2220</v>
      </c>
      <c r="L39" s="90">
        <f t="shared" si="4"/>
        <v>1.389234234234234</v>
      </c>
      <c r="M39" s="78">
        <f>M35+M37+M38</f>
        <v>558.6</v>
      </c>
      <c r="N39" s="78">
        <f>N35+N37+N38</f>
        <v>393.70000000000005</v>
      </c>
      <c r="O39" s="90">
        <f t="shared" si="2"/>
        <v>1.4188468376936754</v>
      </c>
      <c r="P39" s="91">
        <f>P35+P37</f>
        <v>63.5</v>
      </c>
      <c r="Q39" s="78">
        <f>Q35+Q37</f>
        <v>47.099999999999994</v>
      </c>
      <c r="R39" s="78">
        <f>R35+R37</f>
        <v>44.400000000000006</v>
      </c>
      <c r="T39" s="25"/>
    </row>
    <row r="40" spans="8:20" ht="21.75" customHeight="1">
      <c r="H40" s="26"/>
      <c r="I40" s="26"/>
      <c r="T40" s="25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5"/>
      <c r="B1" s="47"/>
      <c r="C1" s="189" t="s">
        <v>11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48"/>
      <c r="O1" s="48"/>
      <c r="P1" s="25"/>
      <c r="Q1" s="25"/>
      <c r="R1" s="25"/>
    </row>
    <row r="2" spans="1:18" ht="15.75">
      <c r="A2" s="25"/>
      <c r="B2" s="194" t="s">
        <v>130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13.5" customHeight="1">
      <c r="A3" s="183" t="s">
        <v>3</v>
      </c>
      <c r="B3" s="183" t="s">
        <v>4</v>
      </c>
      <c r="C3" s="183" t="s">
        <v>113</v>
      </c>
      <c r="D3" s="183" t="s">
        <v>24</v>
      </c>
      <c r="E3" s="183" t="s">
        <v>114</v>
      </c>
      <c r="F3" s="183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104.25" customHeight="1">
      <c r="A4" s="193"/>
      <c r="B4" s="193"/>
      <c r="C4" s="183"/>
      <c r="D4" s="183"/>
      <c r="E4" s="183"/>
      <c r="F4" s="183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</row>
    <row r="5" spans="1:18" ht="20.25" customHeight="1">
      <c r="A5" s="28" t="s">
        <v>21</v>
      </c>
      <c r="B5" s="28"/>
      <c r="C5" s="88">
        <f aca="true" t="shared" si="0" ref="C5:H5">C6+C15+C17+C22+C23+C10</f>
        <v>938.4</v>
      </c>
      <c r="D5" s="88">
        <f t="shared" si="0"/>
        <v>0</v>
      </c>
      <c r="E5" s="88">
        <f t="shared" si="0"/>
        <v>938.4</v>
      </c>
      <c r="F5" s="88">
        <f t="shared" si="0"/>
        <v>0</v>
      </c>
      <c r="G5" s="88">
        <f t="shared" si="0"/>
        <v>366.4</v>
      </c>
      <c r="H5" s="88">
        <f t="shared" si="0"/>
        <v>433.8</v>
      </c>
      <c r="I5" s="89">
        <f aca="true" t="shared" si="1" ref="I5:I39">IF(E5&gt;0,H5/E5,0)</f>
        <v>0.46227621483375964</v>
      </c>
      <c r="J5" s="89">
        <f>IF(F5&gt;0,H5/F5,0)</f>
        <v>0</v>
      </c>
      <c r="K5" s="88">
        <f>K6+K15+K17+K22+K23+K10</f>
        <v>413</v>
      </c>
      <c r="L5" s="89">
        <f>IF(K5&gt;0,H5/K5,0)</f>
        <v>1.0503631961259081</v>
      </c>
      <c r="M5" s="88">
        <f>M6+M15+M17+M22+M23+M10</f>
        <v>67.4</v>
      </c>
      <c r="N5" s="88">
        <f>N6+N15+N17+N22+N23+N10</f>
        <v>66</v>
      </c>
      <c r="O5" s="89">
        <f aca="true" t="shared" si="2" ref="O5:O32">IF(N5&gt;0,M5/N5,0)</f>
        <v>1.0212121212121212</v>
      </c>
      <c r="P5" s="88">
        <f>P6+P15+P17+P22+P23+P10</f>
        <v>31</v>
      </c>
      <c r="Q5" s="88">
        <f>Q6+Q15+Q17+Q22+Q23+Q10</f>
        <v>31.8</v>
      </c>
      <c r="R5" s="88">
        <f>R6+R15+R17+R22+R23+R10</f>
        <v>29.5</v>
      </c>
    </row>
    <row r="6" spans="1:18" ht="18">
      <c r="A6" s="9" t="s">
        <v>62</v>
      </c>
      <c r="B6" s="29">
        <v>1010200001</v>
      </c>
      <c r="C6" s="71">
        <f aca="true" t="shared" si="3" ref="C6:H6">C7+C8+C9</f>
        <v>189</v>
      </c>
      <c r="D6" s="71">
        <f t="shared" si="3"/>
        <v>0</v>
      </c>
      <c r="E6" s="71">
        <f t="shared" si="3"/>
        <v>189</v>
      </c>
      <c r="F6" s="71">
        <f t="shared" si="3"/>
        <v>0</v>
      </c>
      <c r="G6" s="71">
        <f t="shared" si="3"/>
        <v>81.5</v>
      </c>
      <c r="H6" s="71">
        <f t="shared" si="3"/>
        <v>95.9</v>
      </c>
      <c r="I6" s="86">
        <f t="shared" si="1"/>
        <v>0.5074074074074074</v>
      </c>
      <c r="J6" s="86">
        <f>IF(F6&gt;0,H6/F6,0)</f>
        <v>0</v>
      </c>
      <c r="K6" s="71">
        <f>K7+K8+K9</f>
        <v>101.3</v>
      </c>
      <c r="L6" s="86">
        <f aca="true" t="shared" si="4" ref="L6:L39">IF(K6&gt;0,H6/K6,0)</f>
        <v>0.9466929911154986</v>
      </c>
      <c r="M6" s="71">
        <f>M7+M8+M9</f>
        <v>14.4</v>
      </c>
      <c r="N6" s="71">
        <f>N7+N8+N9</f>
        <v>20.5</v>
      </c>
      <c r="O6" s="86">
        <f t="shared" si="2"/>
        <v>0.702439024390244</v>
      </c>
      <c r="P6" s="71">
        <f>P7+P8+P9</f>
        <v>0</v>
      </c>
      <c r="Q6" s="71">
        <f>Q7+Q8+Q9</f>
        <v>0</v>
      </c>
      <c r="R6" s="71">
        <f>R7+R8+R9</f>
        <v>0</v>
      </c>
    </row>
    <row r="7" spans="1:18" ht="18" customHeight="1">
      <c r="A7" s="10" t="s">
        <v>43</v>
      </c>
      <c r="B7" s="13">
        <v>1010201001</v>
      </c>
      <c r="C7" s="70">
        <v>189</v>
      </c>
      <c r="D7" s="67"/>
      <c r="E7" s="70">
        <f>C7+D7</f>
        <v>189</v>
      </c>
      <c r="F7" s="70"/>
      <c r="G7" s="67">
        <v>81.5</v>
      </c>
      <c r="H7" s="67">
        <f>G7+M7</f>
        <v>95.9</v>
      </c>
      <c r="I7" s="76">
        <f t="shared" si="1"/>
        <v>0.5074074074074074</v>
      </c>
      <c r="J7" s="76">
        <f aca="true" t="shared" si="5" ref="J7:J37">IF(F7&gt;0,H7/F7,0)</f>
        <v>0</v>
      </c>
      <c r="K7" s="67">
        <v>101.3</v>
      </c>
      <c r="L7" s="76">
        <f t="shared" si="4"/>
        <v>0.9466929911154986</v>
      </c>
      <c r="M7" s="67">
        <v>14.4</v>
      </c>
      <c r="N7" s="67">
        <v>20.5</v>
      </c>
      <c r="O7" s="76">
        <f t="shared" si="2"/>
        <v>0.702439024390244</v>
      </c>
      <c r="P7" s="70"/>
      <c r="Q7" s="70"/>
      <c r="R7" s="70"/>
    </row>
    <row r="8" spans="1:18" ht="18" customHeight="1">
      <c r="A8" s="10" t="s">
        <v>42</v>
      </c>
      <c r="B8" s="13">
        <v>1010202001</v>
      </c>
      <c r="C8" s="70"/>
      <c r="D8" s="67"/>
      <c r="E8" s="70">
        <f>C8+D8</f>
        <v>0</v>
      </c>
      <c r="F8" s="70"/>
      <c r="G8" s="70"/>
      <c r="H8" s="67">
        <f>G8+M8</f>
        <v>0</v>
      </c>
      <c r="I8" s="76">
        <f t="shared" si="1"/>
        <v>0</v>
      </c>
      <c r="J8" s="76">
        <f t="shared" si="5"/>
        <v>0</v>
      </c>
      <c r="K8" s="70"/>
      <c r="L8" s="76">
        <f>IF(K8&gt;0,H8/K8,0)</f>
        <v>0</v>
      </c>
      <c r="M8" s="70"/>
      <c r="N8" s="70"/>
      <c r="O8" s="76">
        <f>IF(N8&gt;0,M8/N8,0)</f>
        <v>0</v>
      </c>
      <c r="P8" s="70"/>
      <c r="Q8" s="70"/>
      <c r="R8" s="70"/>
    </row>
    <row r="9" spans="1:18" ht="18">
      <c r="A9" s="10" t="s">
        <v>41</v>
      </c>
      <c r="B9" s="13">
        <v>1010203001</v>
      </c>
      <c r="C9" s="70"/>
      <c r="D9" s="70"/>
      <c r="E9" s="70">
        <f>C9+D9</f>
        <v>0</v>
      </c>
      <c r="F9" s="70"/>
      <c r="G9" s="70"/>
      <c r="H9" s="67">
        <f>G9+M9</f>
        <v>0</v>
      </c>
      <c r="I9" s="76">
        <f t="shared" si="1"/>
        <v>0</v>
      </c>
      <c r="J9" s="76">
        <f t="shared" si="5"/>
        <v>0</v>
      </c>
      <c r="K9" s="70"/>
      <c r="L9" s="76">
        <f t="shared" si="4"/>
        <v>0</v>
      </c>
      <c r="M9" s="70"/>
      <c r="N9" s="70"/>
      <c r="O9" s="76">
        <f t="shared" si="2"/>
        <v>0</v>
      </c>
      <c r="P9" s="70"/>
      <c r="Q9" s="70"/>
      <c r="R9" s="70"/>
    </row>
    <row r="10" spans="1:18" ht="30.75" customHeight="1">
      <c r="A10" s="11" t="s">
        <v>47</v>
      </c>
      <c r="B10" s="19">
        <v>1030200001</v>
      </c>
      <c r="C10" s="71">
        <f aca="true" t="shared" si="6" ref="C10:H10">SUM(C11:C14)</f>
        <v>687.4</v>
      </c>
      <c r="D10" s="71">
        <f t="shared" si="6"/>
        <v>0</v>
      </c>
      <c r="E10" s="71">
        <f t="shared" si="6"/>
        <v>687.4</v>
      </c>
      <c r="F10" s="71">
        <f t="shared" si="6"/>
        <v>0</v>
      </c>
      <c r="G10" s="71">
        <f>SUM(G11:G14)</f>
        <v>268.59999999999997</v>
      </c>
      <c r="H10" s="71">
        <f t="shared" si="6"/>
        <v>323.7</v>
      </c>
      <c r="I10" s="65">
        <f t="shared" si="1"/>
        <v>0.4709048588885656</v>
      </c>
      <c r="J10" s="65">
        <f>IF(F10&gt;0,H10/F10,0)</f>
        <v>0</v>
      </c>
      <c r="K10" s="71">
        <f>SUM(K11:K14)</f>
        <v>291.7</v>
      </c>
      <c r="L10" s="65">
        <f t="shared" si="4"/>
        <v>1.1097017483716147</v>
      </c>
      <c r="M10" s="71">
        <f>SUM(M11:M14)</f>
        <v>55.1</v>
      </c>
      <c r="N10" s="71">
        <f>SUM(N11:N14)</f>
        <v>43.1</v>
      </c>
      <c r="O10" s="65">
        <f t="shared" si="2"/>
        <v>1.2784222737819027</v>
      </c>
      <c r="P10" s="71">
        <f>SUM(P11:P14)</f>
        <v>0</v>
      </c>
      <c r="Q10" s="71">
        <f>SUM(Q11:Q14)</f>
        <v>0</v>
      </c>
      <c r="R10" s="71">
        <f>SUM(R11:R14)</f>
        <v>0</v>
      </c>
    </row>
    <row r="11" spans="1:18" ht="18.75" customHeight="1">
      <c r="A11" s="12" t="s">
        <v>48</v>
      </c>
      <c r="B11" s="12">
        <v>1030223101</v>
      </c>
      <c r="C11" s="70">
        <v>315.6</v>
      </c>
      <c r="D11" s="70"/>
      <c r="E11" s="66">
        <f>C11+D11</f>
        <v>315.6</v>
      </c>
      <c r="F11" s="66"/>
      <c r="G11" s="70">
        <v>121.7</v>
      </c>
      <c r="H11" s="68">
        <f>G11+M11</f>
        <v>146.3</v>
      </c>
      <c r="I11" s="69">
        <f t="shared" si="1"/>
        <v>0.4635614702154626</v>
      </c>
      <c r="J11" s="69">
        <f>IF(F11&gt;0,H11/F11,0)</f>
        <v>0</v>
      </c>
      <c r="K11" s="70">
        <v>138.2</v>
      </c>
      <c r="L11" s="69">
        <f t="shared" si="4"/>
        <v>1.0586107091172217</v>
      </c>
      <c r="M11" s="70">
        <v>24.6</v>
      </c>
      <c r="N11" s="70">
        <v>21.3</v>
      </c>
      <c r="O11" s="69">
        <f t="shared" si="2"/>
        <v>1.1549295774647887</v>
      </c>
      <c r="P11" s="70"/>
      <c r="Q11" s="70"/>
      <c r="R11" s="70"/>
    </row>
    <row r="12" spans="1:18" ht="18.75" customHeight="1">
      <c r="A12" s="12" t="s">
        <v>49</v>
      </c>
      <c r="B12" s="12">
        <v>1030224101</v>
      </c>
      <c r="C12" s="70">
        <v>1.8</v>
      </c>
      <c r="D12" s="70"/>
      <c r="E12" s="66">
        <f>C12+D12</f>
        <v>1.8</v>
      </c>
      <c r="F12" s="66"/>
      <c r="G12" s="70">
        <v>0.9</v>
      </c>
      <c r="H12" s="68">
        <f>G12+M12</f>
        <v>1.1</v>
      </c>
      <c r="I12" s="69">
        <f t="shared" si="1"/>
        <v>0.6111111111111112</v>
      </c>
      <c r="J12" s="69">
        <f>IF(F12&gt;0,H12/F12,0)</f>
        <v>0</v>
      </c>
      <c r="K12" s="70">
        <v>0.9</v>
      </c>
      <c r="L12" s="69">
        <f t="shared" si="4"/>
        <v>1.2222222222222223</v>
      </c>
      <c r="M12" s="70">
        <v>0.2</v>
      </c>
      <c r="N12" s="70">
        <v>0.1</v>
      </c>
      <c r="O12" s="69">
        <f t="shared" si="2"/>
        <v>2</v>
      </c>
      <c r="P12" s="70"/>
      <c r="Q12" s="70"/>
      <c r="R12" s="70"/>
    </row>
    <row r="13" spans="1:18" ht="18" customHeight="1">
      <c r="A13" s="12" t="s">
        <v>50</v>
      </c>
      <c r="B13" s="12">
        <v>1030225101</v>
      </c>
      <c r="C13" s="70">
        <v>415.2</v>
      </c>
      <c r="D13" s="70"/>
      <c r="E13" s="66">
        <f>C13+D13</f>
        <v>415.2</v>
      </c>
      <c r="F13" s="66"/>
      <c r="G13" s="70">
        <v>167.1</v>
      </c>
      <c r="H13" s="68">
        <f>G13+M13</f>
        <v>203.5</v>
      </c>
      <c r="I13" s="69">
        <f t="shared" si="1"/>
        <v>0.4901252408477842</v>
      </c>
      <c r="J13" s="69">
        <f>IF(F13&gt;0,H13/F13,0)</f>
        <v>0</v>
      </c>
      <c r="K13" s="70">
        <v>180.1</v>
      </c>
      <c r="L13" s="69">
        <f t="shared" si="4"/>
        <v>1.1299278178789562</v>
      </c>
      <c r="M13" s="70">
        <v>36.4</v>
      </c>
      <c r="N13" s="70">
        <v>24.7</v>
      </c>
      <c r="O13" s="69">
        <f t="shared" si="2"/>
        <v>1.4736842105263157</v>
      </c>
      <c r="P13" s="70"/>
      <c r="Q13" s="70"/>
      <c r="R13" s="70"/>
    </row>
    <row r="14" spans="1:18" ht="18" customHeight="1">
      <c r="A14" s="12" t="s">
        <v>51</v>
      </c>
      <c r="B14" s="12">
        <v>1030226101</v>
      </c>
      <c r="C14" s="70">
        <v>-45.2</v>
      </c>
      <c r="D14" s="70"/>
      <c r="E14" s="66">
        <f>C14+D14</f>
        <v>-45.2</v>
      </c>
      <c r="F14" s="66"/>
      <c r="G14" s="70">
        <v>-21.1</v>
      </c>
      <c r="H14" s="68">
        <f>G14+M14</f>
        <v>-27.200000000000003</v>
      </c>
      <c r="I14" s="69">
        <f>H14/E14</f>
        <v>0.6017699115044248</v>
      </c>
      <c r="J14" s="69">
        <f>IF(F14&gt;0,H14/F14,0)</f>
        <v>0</v>
      </c>
      <c r="K14" s="70">
        <v>-27.5</v>
      </c>
      <c r="L14" s="69">
        <f t="shared" si="4"/>
        <v>0</v>
      </c>
      <c r="M14" s="70">
        <v>-6.1</v>
      </c>
      <c r="N14" s="70">
        <v>-3</v>
      </c>
      <c r="O14" s="69">
        <f t="shared" si="2"/>
        <v>0</v>
      </c>
      <c r="P14" s="70"/>
      <c r="Q14" s="70"/>
      <c r="R14" s="70"/>
    </row>
    <row r="15" spans="1:18" ht="18">
      <c r="A15" s="9" t="s">
        <v>69</v>
      </c>
      <c r="B15" s="29">
        <v>1050000000</v>
      </c>
      <c r="C15" s="71">
        <f aca="true" t="shared" si="7" ref="C15:H15">C16</f>
        <v>0</v>
      </c>
      <c r="D15" s="72">
        <f t="shared" si="7"/>
        <v>0</v>
      </c>
      <c r="E15" s="72">
        <f t="shared" si="7"/>
        <v>0</v>
      </c>
      <c r="F15" s="72">
        <f t="shared" si="7"/>
        <v>0</v>
      </c>
      <c r="G15" s="71">
        <f>G16</f>
        <v>0</v>
      </c>
      <c r="H15" s="72">
        <f t="shared" si="7"/>
        <v>0</v>
      </c>
      <c r="I15" s="86">
        <f t="shared" si="1"/>
        <v>0</v>
      </c>
      <c r="J15" s="86">
        <f t="shared" si="5"/>
        <v>0</v>
      </c>
      <c r="K15" s="71">
        <f>K16</f>
        <v>-0.1</v>
      </c>
      <c r="L15" s="86">
        <f t="shared" si="4"/>
        <v>0</v>
      </c>
      <c r="M15" s="71">
        <f>M16</f>
        <v>0</v>
      </c>
      <c r="N15" s="71">
        <f>N16</f>
        <v>-0.1</v>
      </c>
      <c r="O15" s="86">
        <f t="shared" si="2"/>
        <v>0</v>
      </c>
      <c r="P15" s="71">
        <f>P16</f>
        <v>0</v>
      </c>
      <c r="Q15" s="71">
        <f>Q16</f>
        <v>2.7</v>
      </c>
      <c r="R15" s="71">
        <f>R16</f>
        <v>2.7</v>
      </c>
    </row>
    <row r="16" spans="1:18" ht="18">
      <c r="A16" s="13" t="s">
        <v>7</v>
      </c>
      <c r="B16" s="13">
        <v>1050300001</v>
      </c>
      <c r="C16" s="70"/>
      <c r="D16" s="67"/>
      <c r="E16" s="70">
        <f>C16+D16</f>
        <v>0</v>
      </c>
      <c r="F16" s="70"/>
      <c r="G16" s="70"/>
      <c r="H16" s="67">
        <f>G16+M16</f>
        <v>0</v>
      </c>
      <c r="I16" s="76">
        <f t="shared" si="1"/>
        <v>0</v>
      </c>
      <c r="J16" s="76">
        <f t="shared" si="5"/>
        <v>0</v>
      </c>
      <c r="K16" s="70">
        <v>-0.1</v>
      </c>
      <c r="L16" s="76">
        <f t="shared" si="4"/>
        <v>0</v>
      </c>
      <c r="M16" s="70"/>
      <c r="N16" s="70">
        <v>-0.1</v>
      </c>
      <c r="O16" s="76">
        <f t="shared" si="2"/>
        <v>0</v>
      </c>
      <c r="P16" s="70"/>
      <c r="Q16" s="70">
        <v>2.7</v>
      </c>
      <c r="R16" s="70">
        <v>2.7</v>
      </c>
    </row>
    <row r="17" spans="1:18" ht="18">
      <c r="A17" s="9" t="s">
        <v>70</v>
      </c>
      <c r="B17" s="29">
        <v>1060000000</v>
      </c>
      <c r="C17" s="71">
        <f aca="true" t="shared" si="8" ref="C17:H17">C18+C21</f>
        <v>59</v>
      </c>
      <c r="D17" s="72">
        <f t="shared" si="8"/>
        <v>0</v>
      </c>
      <c r="E17" s="72">
        <f t="shared" si="8"/>
        <v>59</v>
      </c>
      <c r="F17" s="72">
        <f t="shared" si="8"/>
        <v>0</v>
      </c>
      <c r="G17" s="71">
        <f>G18+G21</f>
        <v>15.3</v>
      </c>
      <c r="H17" s="72">
        <f t="shared" si="8"/>
        <v>12.9</v>
      </c>
      <c r="I17" s="86">
        <f t="shared" si="1"/>
        <v>0.21864406779661016</v>
      </c>
      <c r="J17" s="86">
        <f t="shared" si="5"/>
        <v>0</v>
      </c>
      <c r="K17" s="71">
        <f>K18+K21</f>
        <v>13.7</v>
      </c>
      <c r="L17" s="86">
        <f t="shared" si="4"/>
        <v>0.9416058394160585</v>
      </c>
      <c r="M17" s="71">
        <f>M18+M21</f>
        <v>-2.4000000000000004</v>
      </c>
      <c r="N17" s="71">
        <f>N18+N21</f>
        <v>1.2999999999999998</v>
      </c>
      <c r="O17" s="86">
        <f t="shared" si="2"/>
        <v>-1.8461538461538467</v>
      </c>
      <c r="P17" s="71">
        <f>P18+P21</f>
        <v>31</v>
      </c>
      <c r="Q17" s="71">
        <f>Q18+Q21</f>
        <v>29.1</v>
      </c>
      <c r="R17" s="71">
        <f>R18+R21</f>
        <v>26.8</v>
      </c>
    </row>
    <row r="18" spans="1:18" ht="18">
      <c r="A18" s="13" t="s">
        <v>13</v>
      </c>
      <c r="B18" s="13">
        <v>1060600000</v>
      </c>
      <c r="C18" s="70">
        <f aca="true" t="shared" si="9" ref="C18:H18">C19+C20</f>
        <v>39</v>
      </c>
      <c r="D18" s="67">
        <f t="shared" si="9"/>
        <v>0</v>
      </c>
      <c r="E18" s="67">
        <f t="shared" si="9"/>
        <v>39</v>
      </c>
      <c r="F18" s="67">
        <f t="shared" si="9"/>
        <v>0</v>
      </c>
      <c r="G18" s="70">
        <f>G19+G20</f>
        <v>15.3</v>
      </c>
      <c r="H18" s="67">
        <f t="shared" si="9"/>
        <v>12.9</v>
      </c>
      <c r="I18" s="76">
        <f t="shared" si="1"/>
        <v>0.33076923076923076</v>
      </c>
      <c r="J18" s="76">
        <f t="shared" si="5"/>
        <v>0</v>
      </c>
      <c r="K18" s="70">
        <f>K19+K20</f>
        <v>12.1</v>
      </c>
      <c r="L18" s="76">
        <f t="shared" si="4"/>
        <v>1.0661157024793388</v>
      </c>
      <c r="M18" s="70">
        <f>M19+M20</f>
        <v>-2.4000000000000004</v>
      </c>
      <c r="N18" s="70">
        <f>N19+N20</f>
        <v>0.6</v>
      </c>
      <c r="O18" s="76">
        <f t="shared" si="2"/>
        <v>-4.000000000000001</v>
      </c>
      <c r="P18" s="70">
        <f>P19+P20</f>
        <v>17.2</v>
      </c>
      <c r="Q18" s="70">
        <f>Q19+Q20</f>
        <v>15</v>
      </c>
      <c r="R18" s="70">
        <f>R19+R20</f>
        <v>13.3</v>
      </c>
    </row>
    <row r="19" spans="1:18" ht="18">
      <c r="A19" s="13" t="s">
        <v>99</v>
      </c>
      <c r="B19" s="13">
        <v>1060603310</v>
      </c>
      <c r="C19" s="70">
        <v>9</v>
      </c>
      <c r="D19" s="67"/>
      <c r="E19" s="70">
        <f>C19+D19</f>
        <v>9</v>
      </c>
      <c r="F19" s="70"/>
      <c r="G19" s="70">
        <v>12.5</v>
      </c>
      <c r="H19" s="67">
        <f>G19+M19</f>
        <v>9.3</v>
      </c>
      <c r="I19" s="76">
        <f t="shared" si="1"/>
        <v>1.0333333333333334</v>
      </c>
      <c r="J19" s="76">
        <f t="shared" si="5"/>
        <v>0</v>
      </c>
      <c r="K19" s="70">
        <v>8</v>
      </c>
      <c r="L19" s="76">
        <f t="shared" si="4"/>
        <v>1.1625</v>
      </c>
      <c r="M19" s="70">
        <v>-3.2</v>
      </c>
      <c r="N19" s="70"/>
      <c r="O19" s="76">
        <f t="shared" si="2"/>
        <v>0</v>
      </c>
      <c r="P19" s="70"/>
      <c r="Q19" s="70"/>
      <c r="R19" s="70"/>
    </row>
    <row r="20" spans="1:18" ht="18">
      <c r="A20" s="13" t="s">
        <v>100</v>
      </c>
      <c r="B20" s="13">
        <v>1060604310</v>
      </c>
      <c r="C20" s="70">
        <v>30</v>
      </c>
      <c r="D20" s="67"/>
      <c r="E20" s="70">
        <f>C20+D20</f>
        <v>30</v>
      </c>
      <c r="F20" s="70"/>
      <c r="G20" s="70">
        <v>2.8</v>
      </c>
      <c r="H20" s="67">
        <f>G20+M20</f>
        <v>3.5999999999999996</v>
      </c>
      <c r="I20" s="76">
        <f t="shared" si="1"/>
        <v>0.11999999999999998</v>
      </c>
      <c r="J20" s="76">
        <f t="shared" si="5"/>
        <v>0</v>
      </c>
      <c r="K20" s="70">
        <v>4.1</v>
      </c>
      <c r="L20" s="76">
        <f t="shared" si="4"/>
        <v>0.8780487804878049</v>
      </c>
      <c r="M20" s="70">
        <v>0.8</v>
      </c>
      <c r="N20" s="70">
        <v>0.6</v>
      </c>
      <c r="O20" s="76">
        <f t="shared" si="2"/>
        <v>1.3333333333333335</v>
      </c>
      <c r="P20" s="70">
        <v>17.2</v>
      </c>
      <c r="Q20" s="70">
        <v>15</v>
      </c>
      <c r="R20" s="70">
        <v>13.3</v>
      </c>
    </row>
    <row r="21" spans="1:20" ht="18">
      <c r="A21" s="13" t="s">
        <v>12</v>
      </c>
      <c r="B21" s="13">
        <v>1060103010</v>
      </c>
      <c r="C21" s="70">
        <v>20</v>
      </c>
      <c r="D21" s="67"/>
      <c r="E21" s="70">
        <f>C21+D21</f>
        <v>20</v>
      </c>
      <c r="F21" s="70"/>
      <c r="G21" s="70"/>
      <c r="H21" s="67">
        <f>G21+M21</f>
        <v>0</v>
      </c>
      <c r="I21" s="76">
        <f t="shared" si="1"/>
        <v>0</v>
      </c>
      <c r="J21" s="76">
        <f t="shared" si="5"/>
        <v>0</v>
      </c>
      <c r="K21" s="70">
        <v>1.6</v>
      </c>
      <c r="L21" s="76">
        <f t="shared" si="4"/>
        <v>0</v>
      </c>
      <c r="M21" s="70"/>
      <c r="N21" s="70">
        <v>0.7</v>
      </c>
      <c r="O21" s="76">
        <f t="shared" si="2"/>
        <v>0</v>
      </c>
      <c r="P21" s="70">
        <v>13.8</v>
      </c>
      <c r="Q21" s="70">
        <v>14.1</v>
      </c>
      <c r="R21" s="70">
        <v>13.5</v>
      </c>
      <c r="S21" s="127"/>
      <c r="T21" s="156"/>
    </row>
    <row r="22" spans="1:18" ht="18">
      <c r="A22" s="9" t="s">
        <v>71</v>
      </c>
      <c r="B22" s="29">
        <v>1080402001</v>
      </c>
      <c r="C22" s="71">
        <v>3</v>
      </c>
      <c r="D22" s="72"/>
      <c r="E22" s="71">
        <f>C22+D22</f>
        <v>3</v>
      </c>
      <c r="F22" s="71"/>
      <c r="G22" s="71">
        <v>1</v>
      </c>
      <c r="H22" s="72">
        <f>G22+M22</f>
        <v>1.3</v>
      </c>
      <c r="I22" s="86">
        <f t="shared" si="1"/>
        <v>0.43333333333333335</v>
      </c>
      <c r="J22" s="86">
        <f t="shared" si="5"/>
        <v>0</v>
      </c>
      <c r="K22" s="71">
        <v>6.4</v>
      </c>
      <c r="L22" s="86">
        <f t="shared" si="4"/>
        <v>0.203125</v>
      </c>
      <c r="M22" s="71">
        <v>0.3</v>
      </c>
      <c r="N22" s="71">
        <v>1.2</v>
      </c>
      <c r="O22" s="86">
        <f t="shared" si="2"/>
        <v>0.25</v>
      </c>
      <c r="P22" s="71"/>
      <c r="Q22" s="71"/>
      <c r="R22" s="71"/>
    </row>
    <row r="23" spans="1:18" ht="18" hidden="1">
      <c r="A23" s="9" t="s">
        <v>72</v>
      </c>
      <c r="B23" s="29">
        <v>1090405010</v>
      </c>
      <c r="C23" s="71"/>
      <c r="D23" s="71"/>
      <c r="E23" s="71">
        <f>C23+D23</f>
        <v>0</v>
      </c>
      <c r="F23" s="71"/>
      <c r="G23" s="71"/>
      <c r="H23" s="72">
        <f>G23+M23</f>
        <v>0</v>
      </c>
      <c r="I23" s="86">
        <f t="shared" si="1"/>
        <v>0</v>
      </c>
      <c r="J23" s="86">
        <f t="shared" si="5"/>
        <v>0</v>
      </c>
      <c r="K23" s="71"/>
      <c r="L23" s="86">
        <f t="shared" si="4"/>
        <v>0</v>
      </c>
      <c r="M23" s="71"/>
      <c r="N23" s="71"/>
      <c r="O23" s="86">
        <f t="shared" si="2"/>
        <v>0</v>
      </c>
      <c r="P23" s="71"/>
      <c r="Q23" s="71"/>
      <c r="R23" s="71"/>
    </row>
    <row r="24" spans="1:18" ht="18">
      <c r="A24" s="31" t="s">
        <v>22</v>
      </c>
      <c r="B24" s="31"/>
      <c r="C24" s="75">
        <f aca="true" t="shared" si="10" ref="C24:H24">C25+C28+C32+C31+C30+C29</f>
        <v>290</v>
      </c>
      <c r="D24" s="75">
        <f t="shared" si="10"/>
        <v>544.616</v>
      </c>
      <c r="E24" s="75">
        <f t="shared" si="10"/>
        <v>834.616</v>
      </c>
      <c r="F24" s="75">
        <f t="shared" si="10"/>
        <v>0</v>
      </c>
      <c r="G24" s="75">
        <f>G25+G28+G32+G31+G30+G29</f>
        <v>105.80000000000001</v>
      </c>
      <c r="H24" s="75">
        <f t="shared" si="10"/>
        <v>184.29999999999998</v>
      </c>
      <c r="I24" s="89">
        <f t="shared" si="1"/>
        <v>0.22082011368102217</v>
      </c>
      <c r="J24" s="89">
        <f t="shared" si="5"/>
        <v>0</v>
      </c>
      <c r="K24" s="75">
        <f>K25+K28+K32+K31+K30+K29</f>
        <v>198.3</v>
      </c>
      <c r="L24" s="89">
        <f t="shared" si="4"/>
        <v>0.9293998991427129</v>
      </c>
      <c r="M24" s="75">
        <f>M25+M28+M32+M31+M30+M29</f>
        <v>78.5</v>
      </c>
      <c r="N24" s="75">
        <f>N25+N28+N32+N31+N30+N29</f>
        <v>50.900000000000006</v>
      </c>
      <c r="O24" s="89">
        <f t="shared" si="2"/>
        <v>1.542239685658153</v>
      </c>
      <c r="P24" s="75">
        <f>P25+P28+P32+P31+P30</f>
        <v>0</v>
      </c>
      <c r="Q24" s="75">
        <f>Q25+Q28+Q32+Q31+Q30</f>
        <v>0</v>
      </c>
      <c r="R24" s="75">
        <f>R25+R28+R32+R31+R30</f>
        <v>0</v>
      </c>
    </row>
    <row r="25" spans="1:18" ht="17.25" customHeight="1">
      <c r="A25" s="9" t="s">
        <v>73</v>
      </c>
      <c r="B25" s="29">
        <v>1110000000</v>
      </c>
      <c r="C25" s="71">
        <f aca="true" t="shared" si="11" ref="C25:H25">C26+C27</f>
        <v>90</v>
      </c>
      <c r="D25" s="71">
        <f t="shared" si="11"/>
        <v>0</v>
      </c>
      <c r="E25" s="71">
        <f t="shared" si="11"/>
        <v>90</v>
      </c>
      <c r="F25" s="71">
        <f t="shared" si="11"/>
        <v>0</v>
      </c>
      <c r="G25" s="71">
        <f>G26+G27</f>
        <v>26.7</v>
      </c>
      <c r="H25" s="71">
        <f t="shared" si="11"/>
        <v>32.1</v>
      </c>
      <c r="I25" s="86">
        <f t="shared" si="1"/>
        <v>0.3566666666666667</v>
      </c>
      <c r="J25" s="86">
        <f t="shared" si="5"/>
        <v>0</v>
      </c>
      <c r="K25" s="71">
        <f>K26+K27</f>
        <v>31.1</v>
      </c>
      <c r="L25" s="86">
        <f t="shared" si="4"/>
        <v>1.0321543408360128</v>
      </c>
      <c r="M25" s="71">
        <f>M26+M27</f>
        <v>5.4</v>
      </c>
      <c r="N25" s="71">
        <f>N26+N27</f>
        <v>8.5</v>
      </c>
      <c r="O25" s="86">
        <f t="shared" si="2"/>
        <v>0.6352941176470589</v>
      </c>
      <c r="P25" s="71">
        <f>P26+P27</f>
        <v>0</v>
      </c>
      <c r="Q25" s="71">
        <f>Q26+Q27</f>
        <v>0</v>
      </c>
      <c r="R25" s="71">
        <f>R26+R27</f>
        <v>0</v>
      </c>
    </row>
    <row r="26" spans="1:18" ht="18.75" customHeight="1" hidden="1">
      <c r="A26" s="13" t="s">
        <v>18</v>
      </c>
      <c r="B26" s="13">
        <v>1110903510</v>
      </c>
      <c r="C26" s="70"/>
      <c r="D26" s="67"/>
      <c r="E26" s="70">
        <f aca="true" t="shared" si="12" ref="E26:E31">C26+D26</f>
        <v>0</v>
      </c>
      <c r="F26" s="70"/>
      <c r="G26" s="70"/>
      <c r="H26" s="67">
        <f aca="true" t="shared" si="13" ref="H26:H31">G26+M26</f>
        <v>0</v>
      </c>
      <c r="I26" s="76">
        <f t="shared" si="1"/>
        <v>0</v>
      </c>
      <c r="J26" s="76">
        <f t="shared" si="5"/>
        <v>0</v>
      </c>
      <c r="K26" s="70"/>
      <c r="L26" s="76">
        <f t="shared" si="4"/>
        <v>0</v>
      </c>
      <c r="M26" s="70"/>
      <c r="N26" s="70"/>
      <c r="O26" s="76">
        <f t="shared" si="2"/>
        <v>0</v>
      </c>
      <c r="P26" s="70"/>
      <c r="Q26" s="70"/>
      <c r="R26" s="70"/>
    </row>
    <row r="27" spans="1:18" ht="18">
      <c r="A27" s="32" t="s">
        <v>23</v>
      </c>
      <c r="B27" s="13">
        <v>1110904510</v>
      </c>
      <c r="C27" s="70">
        <v>90</v>
      </c>
      <c r="D27" s="67"/>
      <c r="E27" s="70">
        <f t="shared" si="12"/>
        <v>90</v>
      </c>
      <c r="F27" s="70"/>
      <c r="G27" s="70">
        <v>26.7</v>
      </c>
      <c r="H27" s="67">
        <f t="shared" si="13"/>
        <v>32.1</v>
      </c>
      <c r="I27" s="76">
        <f t="shared" si="1"/>
        <v>0.3566666666666667</v>
      </c>
      <c r="J27" s="76">
        <f t="shared" si="5"/>
        <v>0</v>
      </c>
      <c r="K27" s="70">
        <v>31.1</v>
      </c>
      <c r="L27" s="76">
        <f t="shared" si="4"/>
        <v>1.0321543408360128</v>
      </c>
      <c r="M27" s="70">
        <v>5.4</v>
      </c>
      <c r="N27" s="70">
        <v>8.5</v>
      </c>
      <c r="O27" s="76">
        <f t="shared" si="2"/>
        <v>0.6352941176470589</v>
      </c>
      <c r="P27" s="70"/>
      <c r="Q27" s="70"/>
      <c r="R27" s="70"/>
    </row>
    <row r="28" spans="1:18" ht="18">
      <c r="A28" s="9" t="s">
        <v>38</v>
      </c>
      <c r="B28" s="29">
        <v>1130299510</v>
      </c>
      <c r="C28" s="71">
        <v>200</v>
      </c>
      <c r="D28" s="71">
        <f>484.416+60.2</f>
        <v>544.616</v>
      </c>
      <c r="E28" s="126">
        <f t="shared" si="12"/>
        <v>744.616</v>
      </c>
      <c r="F28" s="71"/>
      <c r="G28" s="71">
        <v>78.9</v>
      </c>
      <c r="H28" s="72">
        <f t="shared" si="13"/>
        <v>152</v>
      </c>
      <c r="I28" s="86">
        <f t="shared" si="1"/>
        <v>0.20413206270077464</v>
      </c>
      <c r="J28" s="86">
        <f t="shared" si="5"/>
        <v>0</v>
      </c>
      <c r="K28" s="71">
        <v>166.8</v>
      </c>
      <c r="L28" s="86">
        <f t="shared" si="4"/>
        <v>0.9112709832134291</v>
      </c>
      <c r="M28" s="71">
        <v>73.1</v>
      </c>
      <c r="N28" s="71">
        <v>42.2</v>
      </c>
      <c r="O28" s="86">
        <f t="shared" si="2"/>
        <v>1.7322274881516586</v>
      </c>
      <c r="P28" s="71"/>
      <c r="Q28" s="71"/>
      <c r="R28" s="71"/>
    </row>
    <row r="29" spans="1:18" ht="18">
      <c r="A29" s="9" t="s">
        <v>74</v>
      </c>
      <c r="B29" s="29">
        <v>1140205310</v>
      </c>
      <c r="C29" s="71"/>
      <c r="D29" s="71"/>
      <c r="E29" s="71">
        <f t="shared" si="12"/>
        <v>0</v>
      </c>
      <c r="F29" s="71"/>
      <c r="G29" s="71"/>
      <c r="H29" s="72">
        <f t="shared" si="13"/>
        <v>0</v>
      </c>
      <c r="I29" s="86">
        <f>IF(E29&gt;0,H29/E29,0)</f>
        <v>0</v>
      </c>
      <c r="J29" s="86">
        <f>IF(F29&gt;0,H29/F29,0)</f>
        <v>0</v>
      </c>
      <c r="K29" s="71"/>
      <c r="L29" s="86">
        <f t="shared" si="4"/>
        <v>0</v>
      </c>
      <c r="M29" s="71"/>
      <c r="N29" s="71"/>
      <c r="O29" s="86">
        <f t="shared" si="2"/>
        <v>0</v>
      </c>
      <c r="P29" s="71"/>
      <c r="Q29" s="71"/>
      <c r="R29" s="71"/>
    </row>
    <row r="30" spans="1:18" ht="18">
      <c r="A30" s="9" t="s">
        <v>75</v>
      </c>
      <c r="B30" s="29">
        <v>1140601410</v>
      </c>
      <c r="C30" s="71"/>
      <c r="D30" s="71"/>
      <c r="E30" s="71">
        <f t="shared" si="12"/>
        <v>0</v>
      </c>
      <c r="F30" s="71"/>
      <c r="G30" s="71"/>
      <c r="H30" s="72">
        <f t="shared" si="13"/>
        <v>0</v>
      </c>
      <c r="I30" s="86">
        <f>IF(E30&gt;0,H30/E30,0)</f>
        <v>0</v>
      </c>
      <c r="J30" s="86">
        <f>IF(F30&gt;0,H30/F30,0)</f>
        <v>0</v>
      </c>
      <c r="K30" s="71"/>
      <c r="L30" s="86">
        <f t="shared" si="4"/>
        <v>0</v>
      </c>
      <c r="M30" s="71"/>
      <c r="N30" s="71"/>
      <c r="O30" s="86">
        <f t="shared" si="2"/>
        <v>0</v>
      </c>
      <c r="P30" s="71"/>
      <c r="Q30" s="71"/>
      <c r="R30" s="71"/>
    </row>
    <row r="31" spans="1:18" ht="18">
      <c r="A31" s="9" t="s">
        <v>78</v>
      </c>
      <c r="B31" s="29">
        <v>1169005010</v>
      </c>
      <c r="C31" s="71"/>
      <c r="D31" s="71"/>
      <c r="E31" s="71">
        <f t="shared" si="12"/>
        <v>0</v>
      </c>
      <c r="F31" s="71"/>
      <c r="G31" s="71"/>
      <c r="H31" s="72">
        <f t="shared" si="13"/>
        <v>0</v>
      </c>
      <c r="I31" s="86">
        <f>IF(E31&gt;0,H31/E31,0)</f>
        <v>0</v>
      </c>
      <c r="J31" s="86">
        <f>IF(F31&gt;0,H31/F31,0)</f>
        <v>0</v>
      </c>
      <c r="K31" s="71"/>
      <c r="L31" s="86">
        <f t="shared" si="4"/>
        <v>0</v>
      </c>
      <c r="M31" s="71"/>
      <c r="N31" s="71"/>
      <c r="O31" s="86">
        <f t="shared" si="2"/>
        <v>0</v>
      </c>
      <c r="P31" s="71"/>
      <c r="Q31" s="71"/>
      <c r="R31" s="71"/>
    </row>
    <row r="32" spans="1:18" ht="18">
      <c r="A32" s="9" t="s">
        <v>68</v>
      </c>
      <c r="B32" s="29">
        <v>1170000000</v>
      </c>
      <c r="C32" s="71">
        <f>SUM(C33:C34)</f>
        <v>0</v>
      </c>
      <c r="D32" s="71">
        <f aca="true" t="shared" si="14" ref="D32:R32">SUM(D33:D34)</f>
        <v>0</v>
      </c>
      <c r="E32" s="71">
        <f t="shared" si="14"/>
        <v>0</v>
      </c>
      <c r="F32" s="71">
        <f t="shared" si="14"/>
        <v>0</v>
      </c>
      <c r="G32" s="71">
        <f>SUM(G33:G34)</f>
        <v>0.2</v>
      </c>
      <c r="H32" s="71">
        <f t="shared" si="14"/>
        <v>0.2</v>
      </c>
      <c r="I32" s="86">
        <f>IF(E32&gt;0,H32/E32,0)</f>
        <v>0</v>
      </c>
      <c r="J32" s="86">
        <f>IF(F32&gt;0,H32/F32,0)</f>
        <v>0</v>
      </c>
      <c r="K32" s="71">
        <f>SUM(K33:K34)</f>
        <v>0.4</v>
      </c>
      <c r="L32" s="86">
        <f t="shared" si="4"/>
        <v>0.5</v>
      </c>
      <c r="M32" s="71">
        <f t="shared" si="14"/>
        <v>0</v>
      </c>
      <c r="N32" s="71">
        <f t="shared" si="14"/>
        <v>0.2</v>
      </c>
      <c r="O32" s="86">
        <f t="shared" si="2"/>
        <v>0</v>
      </c>
      <c r="P32" s="71">
        <f t="shared" si="14"/>
        <v>0</v>
      </c>
      <c r="Q32" s="71">
        <f>SUM(Q33:Q34)</f>
        <v>0</v>
      </c>
      <c r="R32" s="71">
        <f t="shared" si="14"/>
        <v>0</v>
      </c>
    </row>
    <row r="33" spans="1:18" ht="18">
      <c r="A33" s="13" t="s">
        <v>8</v>
      </c>
      <c r="B33" s="13">
        <v>1170103003</v>
      </c>
      <c r="C33" s="70"/>
      <c r="D33" s="70"/>
      <c r="E33" s="70">
        <f>C33+D33</f>
        <v>0</v>
      </c>
      <c r="F33" s="70"/>
      <c r="G33" s="70"/>
      <c r="H33" s="67">
        <f>G33+M33</f>
        <v>0</v>
      </c>
      <c r="I33" s="76">
        <f t="shared" si="1"/>
        <v>0</v>
      </c>
      <c r="J33" s="76">
        <f t="shared" si="5"/>
        <v>0</v>
      </c>
      <c r="K33" s="70"/>
      <c r="L33" s="76">
        <f t="shared" si="4"/>
        <v>0</v>
      </c>
      <c r="M33" s="70"/>
      <c r="N33" s="70"/>
      <c r="O33" s="76">
        <f aca="true" t="shared" si="15" ref="O33:O39">IF(N33&gt;0,M33/N33,0)</f>
        <v>0</v>
      </c>
      <c r="P33" s="76"/>
      <c r="Q33" s="76"/>
      <c r="R33" s="76"/>
    </row>
    <row r="34" spans="1:18" ht="18">
      <c r="A34" s="13" t="s">
        <v>33</v>
      </c>
      <c r="B34" s="13">
        <v>1170505010</v>
      </c>
      <c r="C34" s="70"/>
      <c r="D34" s="81"/>
      <c r="E34" s="70">
        <f>C34+D34</f>
        <v>0</v>
      </c>
      <c r="F34" s="70"/>
      <c r="G34" s="70">
        <v>0.2</v>
      </c>
      <c r="H34" s="67">
        <f>G34+M34</f>
        <v>0.2</v>
      </c>
      <c r="I34" s="76">
        <f>IF(E34&gt;0,H34/E34,0)</f>
        <v>0</v>
      </c>
      <c r="J34" s="76">
        <f>IF(F34&gt;0,H34/F34,0)</f>
        <v>0</v>
      </c>
      <c r="K34" s="70">
        <v>0.4</v>
      </c>
      <c r="L34" s="76">
        <f>IF(K34&gt;0,H34/K34,0)</f>
        <v>0.5</v>
      </c>
      <c r="M34" s="70"/>
      <c r="N34" s="70">
        <v>0.2</v>
      </c>
      <c r="O34" s="76">
        <f t="shared" si="15"/>
        <v>0</v>
      </c>
      <c r="P34" s="70"/>
      <c r="Q34" s="70"/>
      <c r="R34" s="70"/>
    </row>
    <row r="35" spans="1:19" ht="18">
      <c r="A35" s="9" t="s">
        <v>6</v>
      </c>
      <c r="B35" s="9">
        <v>1000000000</v>
      </c>
      <c r="C35" s="77">
        <f aca="true" t="shared" si="16" ref="C35:H35">C5+C24</f>
        <v>1228.4</v>
      </c>
      <c r="D35" s="77">
        <f t="shared" si="16"/>
        <v>544.616</v>
      </c>
      <c r="E35" s="77">
        <f t="shared" si="16"/>
        <v>1773.016</v>
      </c>
      <c r="F35" s="78">
        <f t="shared" si="16"/>
        <v>0</v>
      </c>
      <c r="G35" s="78">
        <f>G5+G24</f>
        <v>472.2</v>
      </c>
      <c r="H35" s="78">
        <f t="shared" si="16"/>
        <v>618.1</v>
      </c>
      <c r="I35" s="90">
        <f t="shared" si="1"/>
        <v>0.3486150153185307</v>
      </c>
      <c r="J35" s="90">
        <f t="shared" si="5"/>
        <v>0</v>
      </c>
      <c r="K35" s="78">
        <f>K5+K24</f>
        <v>611.3</v>
      </c>
      <c r="L35" s="90">
        <f t="shared" si="4"/>
        <v>1.0111238344511697</v>
      </c>
      <c r="M35" s="78">
        <f>M5+M24</f>
        <v>145.9</v>
      </c>
      <c r="N35" s="78">
        <f>N5+N24</f>
        <v>116.9</v>
      </c>
      <c r="O35" s="90">
        <f t="shared" si="15"/>
        <v>1.2480752780153979</v>
      </c>
      <c r="P35" s="78">
        <f>P5+P24</f>
        <v>31</v>
      </c>
      <c r="Q35" s="78">
        <f>Q5+Q24</f>
        <v>31.8</v>
      </c>
      <c r="R35" s="78">
        <f>R5+R24</f>
        <v>29.5</v>
      </c>
      <c r="S35" s="174"/>
    </row>
    <row r="36" spans="1:18" ht="18">
      <c r="A36" s="9" t="s">
        <v>91</v>
      </c>
      <c r="B36" s="9"/>
      <c r="C36" s="78">
        <f aca="true" t="shared" si="17" ref="C36:H36">C35-C10</f>
        <v>541.0000000000001</v>
      </c>
      <c r="D36" s="87">
        <f t="shared" si="17"/>
        <v>544.616</v>
      </c>
      <c r="E36" s="78">
        <f t="shared" si="17"/>
        <v>1085.616</v>
      </c>
      <c r="F36" s="78">
        <f t="shared" si="17"/>
        <v>0</v>
      </c>
      <c r="G36" s="78">
        <f>G35-G10</f>
        <v>203.60000000000002</v>
      </c>
      <c r="H36" s="78">
        <f t="shared" si="17"/>
        <v>294.40000000000003</v>
      </c>
      <c r="I36" s="90">
        <f>IF(E36&gt;0,H36/E36,0)</f>
        <v>0.2711824438843938</v>
      </c>
      <c r="J36" s="90">
        <f>IF(F36&gt;0,H36/F36,0)</f>
        <v>0</v>
      </c>
      <c r="K36" s="78">
        <f>K35-K10</f>
        <v>319.59999999999997</v>
      </c>
      <c r="L36" s="90">
        <f t="shared" si="4"/>
        <v>0.9211514392991241</v>
      </c>
      <c r="M36" s="78">
        <f>M35-M10</f>
        <v>90.80000000000001</v>
      </c>
      <c r="N36" s="78">
        <f>N35-N10</f>
        <v>73.80000000000001</v>
      </c>
      <c r="O36" s="90">
        <f t="shared" si="15"/>
        <v>1.2303523035230353</v>
      </c>
      <c r="P36" s="78"/>
      <c r="Q36" s="78"/>
      <c r="R36" s="78"/>
    </row>
    <row r="37" spans="1:19" ht="18">
      <c r="A37" s="13" t="s">
        <v>36</v>
      </c>
      <c r="B37" s="13">
        <v>2000000000</v>
      </c>
      <c r="C37" s="70">
        <v>2791.6</v>
      </c>
      <c r="D37" s="82">
        <f>150-0.2</f>
        <v>149.8</v>
      </c>
      <c r="E37" s="82">
        <f>C37+D37</f>
        <v>2941.4</v>
      </c>
      <c r="F37" s="70"/>
      <c r="G37" s="70">
        <v>1111.2</v>
      </c>
      <c r="H37" s="67">
        <f>G37+M37</f>
        <v>1320</v>
      </c>
      <c r="I37" s="76">
        <f t="shared" si="1"/>
        <v>0.44876589379207177</v>
      </c>
      <c r="J37" s="76">
        <f t="shared" si="5"/>
        <v>0</v>
      </c>
      <c r="K37" s="70">
        <v>1746.7</v>
      </c>
      <c r="L37" s="76">
        <f t="shared" si="4"/>
        <v>0.7557107688784565</v>
      </c>
      <c r="M37" s="70">
        <v>208.8</v>
      </c>
      <c r="N37" s="70">
        <v>197.4</v>
      </c>
      <c r="O37" s="76">
        <f t="shared" si="15"/>
        <v>1.0577507598784195</v>
      </c>
      <c r="P37" s="70"/>
      <c r="Q37" s="70"/>
      <c r="R37" s="70"/>
      <c r="S37" s="137"/>
    </row>
    <row r="38" spans="1:18" ht="18">
      <c r="A38" s="13" t="s">
        <v>45</v>
      </c>
      <c r="B38" s="33" t="s">
        <v>37</v>
      </c>
      <c r="C38" s="70"/>
      <c r="D38" s="82">
        <f>100+40</f>
        <v>140</v>
      </c>
      <c r="E38" s="70">
        <f>C38+D38</f>
        <v>140</v>
      </c>
      <c r="F38" s="70"/>
      <c r="G38" s="70">
        <v>140</v>
      </c>
      <c r="H38" s="67">
        <f>G38+M38</f>
        <v>190</v>
      </c>
      <c r="I38" s="76">
        <f>IF(E38&gt;0,H38/E38,0)</f>
        <v>1.3571428571428572</v>
      </c>
      <c r="J38" s="76">
        <f>IF(F38&gt;0,H38/F38,0)</f>
        <v>0</v>
      </c>
      <c r="K38" s="70"/>
      <c r="L38" s="76">
        <f t="shared" si="4"/>
        <v>0</v>
      </c>
      <c r="M38" s="70">
        <v>50</v>
      </c>
      <c r="N38" s="70"/>
      <c r="O38" s="76">
        <f t="shared" si="15"/>
        <v>0</v>
      </c>
      <c r="P38" s="70"/>
      <c r="Q38" s="70"/>
      <c r="R38" s="70"/>
    </row>
    <row r="39" spans="1:18" ht="18">
      <c r="A39" s="9" t="s">
        <v>2</v>
      </c>
      <c r="B39" s="9">
        <v>0</v>
      </c>
      <c r="C39" s="77">
        <f aca="true" t="shared" si="18" ref="C39:H39">C35+C37+C38</f>
        <v>4020</v>
      </c>
      <c r="D39" s="77">
        <f t="shared" si="18"/>
        <v>834.4159999999999</v>
      </c>
      <c r="E39" s="77">
        <f t="shared" si="18"/>
        <v>4854.416</v>
      </c>
      <c r="F39" s="78">
        <f t="shared" si="18"/>
        <v>0</v>
      </c>
      <c r="G39" s="78">
        <f t="shared" si="18"/>
        <v>1723.4</v>
      </c>
      <c r="H39" s="78">
        <f t="shared" si="18"/>
        <v>2128.1</v>
      </c>
      <c r="I39" s="90">
        <f t="shared" si="1"/>
        <v>0.43838434942534793</v>
      </c>
      <c r="J39" s="90"/>
      <c r="K39" s="78">
        <f>K35+K37+K38</f>
        <v>2358</v>
      </c>
      <c r="L39" s="90">
        <f t="shared" si="4"/>
        <v>0.9025021204410517</v>
      </c>
      <c r="M39" s="78">
        <f>M35+M37+M38</f>
        <v>404.70000000000005</v>
      </c>
      <c r="N39" s="78">
        <f>N35+N37+N38</f>
        <v>314.3</v>
      </c>
      <c r="O39" s="90">
        <f t="shared" si="15"/>
        <v>1.2876232898504614</v>
      </c>
      <c r="P39" s="78">
        <f>P35+P37+P38</f>
        <v>31</v>
      </c>
      <c r="Q39" s="78">
        <f>Q35+Q37+Q38</f>
        <v>31.8</v>
      </c>
      <c r="R39" s="78">
        <f>R35+R37+R38</f>
        <v>29.5</v>
      </c>
    </row>
    <row r="40" spans="7:9" ht="18" customHeight="1">
      <c r="G40" s="5"/>
      <c r="I40" s="151"/>
    </row>
    <row r="41" ht="12.75">
      <c r="G41" s="6"/>
    </row>
  </sheetData>
  <sheetProtection/>
  <mergeCells count="15"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pane xSplit="2" ySplit="6" topLeftCell="E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M44" sqref="M44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4.8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5.8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</cols>
  <sheetData>
    <row r="1" spans="1:18" ht="21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6.5" customHeight="1">
      <c r="A2" s="197" t="s">
        <v>131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" ht="15.75" customHeight="1">
      <c r="A3" s="198" t="s">
        <v>3</v>
      </c>
      <c r="B3" s="198" t="s">
        <v>4</v>
      </c>
      <c r="C3" s="195" t="s">
        <v>113</v>
      </c>
      <c r="D3" s="195" t="s">
        <v>24</v>
      </c>
      <c r="E3" s="195" t="s">
        <v>114</v>
      </c>
      <c r="F3" s="195" t="s">
        <v>98</v>
      </c>
      <c r="G3" s="183" t="s">
        <v>119</v>
      </c>
      <c r="H3" s="183" t="s">
        <v>115</v>
      </c>
      <c r="I3" s="183"/>
      <c r="J3" s="183"/>
      <c r="K3" s="183" t="s">
        <v>111</v>
      </c>
      <c r="L3" s="183"/>
      <c r="M3" s="183" t="s">
        <v>122</v>
      </c>
      <c r="N3" s="183" t="s">
        <v>123</v>
      </c>
      <c r="O3" s="183" t="s">
        <v>30</v>
      </c>
      <c r="P3" s="183" t="s">
        <v>9</v>
      </c>
      <c r="Q3" s="183"/>
      <c r="R3" s="183"/>
    </row>
    <row r="4" spans="1:18" ht="99" customHeight="1">
      <c r="A4" s="199"/>
      <c r="B4" s="199"/>
      <c r="C4" s="195"/>
      <c r="D4" s="195"/>
      <c r="E4" s="195"/>
      <c r="F4" s="195"/>
      <c r="G4" s="183"/>
      <c r="H4" s="46" t="s">
        <v>121</v>
      </c>
      <c r="I4" s="46" t="s">
        <v>10</v>
      </c>
      <c r="J4" s="46" t="s">
        <v>29</v>
      </c>
      <c r="K4" s="46" t="s">
        <v>121</v>
      </c>
      <c r="L4" s="46" t="s">
        <v>30</v>
      </c>
      <c r="M4" s="183"/>
      <c r="N4" s="183"/>
      <c r="O4" s="183"/>
      <c r="P4" s="121" t="s">
        <v>117</v>
      </c>
      <c r="Q4" s="121" t="s">
        <v>124</v>
      </c>
      <c r="R4" s="121" t="s">
        <v>125</v>
      </c>
    </row>
    <row r="5" spans="1:18" ht="18">
      <c r="A5" s="7" t="s">
        <v>21</v>
      </c>
      <c r="B5" s="17"/>
      <c r="C5" s="93">
        <f aca="true" t="shared" si="0" ref="C5:H5">C6+C10+C15+C21+C25+C26</f>
        <v>68200.027</v>
      </c>
      <c r="D5" s="93">
        <f t="shared" si="0"/>
        <v>1087.017</v>
      </c>
      <c r="E5" s="123">
        <f t="shared" si="0"/>
        <v>69287.044</v>
      </c>
      <c r="F5" s="93" t="e">
        <f t="shared" si="0"/>
        <v>#REF!</v>
      </c>
      <c r="G5" s="93">
        <f t="shared" si="0"/>
        <v>36171</v>
      </c>
      <c r="H5" s="119">
        <f t="shared" si="0"/>
        <v>40433.3</v>
      </c>
      <c r="I5" s="94">
        <f>IF(E5&gt;0,H5/E5,0)</f>
        <v>0.5835622024804523</v>
      </c>
      <c r="J5" s="94" t="e">
        <f>IF(F5&gt;0,H5/F5,0)</f>
        <v>#REF!</v>
      </c>
      <c r="K5" s="93">
        <f>K6+K10+K15+K21+K25+K26</f>
        <v>32968.1</v>
      </c>
      <c r="L5" s="94">
        <f>IF(K5&gt;0,H5/K5,0)</f>
        <v>1.2264370709868024</v>
      </c>
      <c r="M5" s="93">
        <f>M6+M10+M15+M21+M25+M26</f>
        <v>4262.300000000001</v>
      </c>
      <c r="N5" s="93">
        <f>N6+N10+N15+N21+N25+N26</f>
        <v>4363.3</v>
      </c>
      <c r="O5" s="94">
        <f>IF(N5&gt;0,M5/N5,0)</f>
        <v>0.9768523823711414</v>
      </c>
      <c r="P5" s="119">
        <f>P6+P10+P15+P21+P25+P26</f>
        <v>1007.6000000000001</v>
      </c>
      <c r="Q5" s="93">
        <f>Q6+Q10+Q15+Q21+Q25+Q26</f>
        <v>1902</v>
      </c>
      <c r="R5" s="93">
        <f>R6+R10+R15+R21+R25+R26</f>
        <v>1615.8</v>
      </c>
    </row>
    <row r="6" spans="1:19" ht="18">
      <c r="A6" s="9" t="s">
        <v>62</v>
      </c>
      <c r="B6" s="18">
        <v>1010200001</v>
      </c>
      <c r="C6" s="95">
        <f>C7+C8+C9</f>
        <v>21450</v>
      </c>
      <c r="D6" s="150">
        <f>D7+D8+D9</f>
        <v>0</v>
      </c>
      <c r="E6" s="150">
        <f>E7+E8+E9</f>
        <v>21450</v>
      </c>
      <c r="F6" s="95" t="e">
        <f>F7+F8+F9+#REF!</f>
        <v>#REF!</v>
      </c>
      <c r="G6" s="95">
        <f>G7+G8+G9</f>
        <v>9077.500000000002</v>
      </c>
      <c r="H6" s="95">
        <f>H7+H8+H9</f>
        <v>10847.400000000001</v>
      </c>
      <c r="I6" s="96">
        <f aca="true" t="shared" si="1" ref="I6:I51">IF(E6&gt;0,H6/E6,0)</f>
        <v>0.5057062937062937</v>
      </c>
      <c r="J6" s="96" t="e">
        <f aca="true" t="shared" si="2" ref="J6:J51">IF(F6&gt;0,H6/F6,0)</f>
        <v>#REF!</v>
      </c>
      <c r="K6" s="95">
        <f>K7+K8+K9</f>
        <v>9831.399999999998</v>
      </c>
      <c r="L6" s="96">
        <f aca="true" t="shared" si="3" ref="L6:L51">IF(K6&gt;0,H6/K6,0)</f>
        <v>1.103342352055659</v>
      </c>
      <c r="M6" s="95">
        <f>M7+M8+M9</f>
        <v>1769.9</v>
      </c>
      <c r="N6" s="95">
        <f>N7+N8+N9</f>
        <v>1788.4000000000003</v>
      </c>
      <c r="O6" s="96">
        <f aca="true" t="shared" si="4" ref="O6:O51">IF(N6&gt;0,M6/N6,0)</f>
        <v>0.9896555580407067</v>
      </c>
      <c r="P6" s="95">
        <f>P7+P8+P9</f>
        <v>54.7</v>
      </c>
      <c r="Q6" s="95">
        <f>Q7+Q8+Q9</f>
        <v>44.5</v>
      </c>
      <c r="R6" s="167">
        <f>R7+R8+R9</f>
        <v>38.60000000000001</v>
      </c>
      <c r="S6" s="168"/>
    </row>
    <row r="7" spans="1:19" ht="18" customHeight="1">
      <c r="A7" s="10" t="s">
        <v>39</v>
      </c>
      <c r="B7" s="13">
        <v>1010201001</v>
      </c>
      <c r="C7" s="97">
        <f>муниц!C6+'Лен '!C7+Высокор!C7+Гост!C7+Новотр!C7+Черн!C7</f>
        <v>21324</v>
      </c>
      <c r="D7" s="117">
        <f>муниц!D6+'Лен '!D7+Высокор!D7+Гост!D7+Новотр!D7+Черн!D7</f>
        <v>0</v>
      </c>
      <c r="E7" s="101">
        <f>C7+D7</f>
        <v>21324</v>
      </c>
      <c r="F7" s="97">
        <f>муниц!F6+'Лен '!F7+Высокор!F7+Гост!F7+Новотр!F7+Черн!F7</f>
        <v>9824.7</v>
      </c>
      <c r="G7" s="97">
        <f>муниц!G6+'Лен '!G7+Высокор!G7+Гост!G7+Новотр!G7+Черн!G7</f>
        <v>9006.6</v>
      </c>
      <c r="H7" s="99">
        <f>G7+M7</f>
        <v>10775.1</v>
      </c>
      <c r="I7" s="100">
        <f t="shared" si="1"/>
        <v>0.5053038829487901</v>
      </c>
      <c r="J7" s="100">
        <f t="shared" si="2"/>
        <v>1.0967357781917004</v>
      </c>
      <c r="K7" s="97">
        <f>муниц!K6+'Лен '!K7+Высокор!K7+Гост!K7+Новотр!K7+Черн!K7</f>
        <v>9770.599999999999</v>
      </c>
      <c r="L7" s="100">
        <f t="shared" si="3"/>
        <v>1.1028084252758277</v>
      </c>
      <c r="M7" s="97">
        <f>муниц!M6+'Лен '!M7+Высокор!M7+Гост!M7+Новотр!M7+Черн!M7</f>
        <v>1768.5</v>
      </c>
      <c r="N7" s="97">
        <f>муниц!N6+'Лен '!N7+Высокор!N7+Гост!N7+Новотр!N7+Черн!N7</f>
        <v>1788.4000000000003</v>
      </c>
      <c r="O7" s="100">
        <f t="shared" si="4"/>
        <v>0.9888727354059492</v>
      </c>
      <c r="P7" s="97">
        <f>муниц!P6+'Лен '!P7+Высокор!P7+Гост!P7+Новотр!P7+Черн!P7</f>
        <v>29</v>
      </c>
      <c r="Q7" s="97">
        <f>муниц!Q6+'Лен '!Q7+Высокор!Q7+Гост!Q7+Новотр!Q7+Черн!Q7</f>
        <v>34.6</v>
      </c>
      <c r="R7" s="97">
        <f>муниц!R6+'Лен '!R7+Высокор!R7+Гост!R7+Новотр!R7+Черн!R7</f>
        <v>29.300000000000004</v>
      </c>
      <c r="S7" s="25"/>
    </row>
    <row r="8" spans="1:19" ht="18.75" customHeight="1">
      <c r="A8" s="10" t="s">
        <v>40</v>
      </c>
      <c r="B8" s="13">
        <v>1010202001</v>
      </c>
      <c r="C8" s="97">
        <f>муниц!C7+'Лен '!C8+Высокор!C8+Гост!C8+Новотр!C8+Черн!C8</f>
        <v>54</v>
      </c>
      <c r="D8" s="97">
        <f>муниц!D7+'Лен '!D8+Высокор!D8+Гост!D8+Новотр!D8+Черн!D8</f>
        <v>0</v>
      </c>
      <c r="E8" s="101">
        <f>C8+D8</f>
        <v>54</v>
      </c>
      <c r="F8" s="97">
        <f>муниц!F7+'Лен '!F8+Высокор!F8+Гост!F8+Новотр!F8+Черн!F8</f>
        <v>26.1</v>
      </c>
      <c r="G8" s="97">
        <f>муниц!G7+'Лен '!G8+Высокор!G8+Гост!G8+Новотр!G8+Черн!G8</f>
        <v>30.200000000000003</v>
      </c>
      <c r="H8" s="99">
        <f>G8+M8</f>
        <v>30.200000000000003</v>
      </c>
      <c r="I8" s="100">
        <f t="shared" si="1"/>
        <v>0.5592592592592593</v>
      </c>
      <c r="J8" s="100">
        <f t="shared" si="2"/>
        <v>1.157088122605364</v>
      </c>
      <c r="K8" s="97">
        <f>муниц!K7+'Лен '!K8+Высокор!K8+Гост!K8+Новотр!K8+Черн!K8</f>
        <v>20.8</v>
      </c>
      <c r="L8" s="100">
        <f t="shared" si="3"/>
        <v>1.451923076923077</v>
      </c>
      <c r="M8" s="97">
        <f>муниц!M7+'Лен '!M8+Высокор!M8+Гост!M8+Новотр!M8+Черн!M8</f>
        <v>0</v>
      </c>
      <c r="N8" s="97">
        <f>муниц!N7+'Лен '!N8+Высокор!N8+Гост!N8+Новотр!N8+Черн!N8</f>
        <v>0</v>
      </c>
      <c r="O8" s="100">
        <f t="shared" si="4"/>
        <v>0</v>
      </c>
      <c r="P8" s="97">
        <f>муниц!P7+'Лен '!P8+Высокор!P8+Гост!P8+Новотр!P8+Черн!P8</f>
        <v>0</v>
      </c>
      <c r="Q8" s="97">
        <f>муниц!Q7+'Лен '!Q8+Высокор!Q8+Гост!Q8+Новотр!Q8+Черн!Q8</f>
        <v>0</v>
      </c>
      <c r="R8" s="97">
        <f>муниц!R7+'Лен '!R8+Высокор!R8+Гост!R8+Новотр!R8+Черн!R8</f>
        <v>0</v>
      </c>
      <c r="S8" s="25"/>
    </row>
    <row r="9" spans="1:19" ht="17.25" customHeight="1">
      <c r="A9" s="10" t="s">
        <v>41</v>
      </c>
      <c r="B9" s="13">
        <v>1010203001</v>
      </c>
      <c r="C9" s="97">
        <f>муниц!C8+'Лен '!C9+Высокор!C9+Гост!C9+Новотр!C9+Черн!C9</f>
        <v>72</v>
      </c>
      <c r="D9" s="97">
        <f>муниц!D8+'Лен '!D9+Высокор!D9+Гост!D9+Новотр!D9+Черн!D9</f>
        <v>0</v>
      </c>
      <c r="E9" s="98">
        <f>C9+D9</f>
        <v>72</v>
      </c>
      <c r="F9" s="97">
        <f>муниц!F8+'Лен '!F9+Высокор!F9+Гост!F9+Новотр!F9+Черн!F9</f>
        <v>47</v>
      </c>
      <c r="G9" s="97">
        <f>муниц!G8+'Лен '!G9+Высокор!G9+Гост!G9+Новотр!G9+Черн!G9</f>
        <v>40.7</v>
      </c>
      <c r="H9" s="99">
        <f>G9+M9</f>
        <v>42.1</v>
      </c>
      <c r="I9" s="100">
        <f t="shared" si="1"/>
        <v>0.5847222222222223</v>
      </c>
      <c r="J9" s="100">
        <f t="shared" si="2"/>
        <v>0.8957446808510638</v>
      </c>
      <c r="K9" s="97">
        <f>муниц!K8+'Лен '!K9+Высокор!K9+Гост!K9+Новотр!K9+Черн!K9</f>
        <v>40</v>
      </c>
      <c r="L9" s="100">
        <f t="shared" si="3"/>
        <v>1.0525</v>
      </c>
      <c r="M9" s="97">
        <f>муниц!M8+'Лен '!M9+Высокор!M9+Гост!M9+Новотр!M9+Черн!M9</f>
        <v>1.4000000000000001</v>
      </c>
      <c r="N9" s="97">
        <f>муниц!N8+'Лен '!N9+Высокор!N9+Гост!N9+Новотр!N9+Черн!N9</f>
        <v>0</v>
      </c>
      <c r="O9" s="100">
        <f t="shared" si="4"/>
        <v>0</v>
      </c>
      <c r="P9" s="97">
        <f>муниц!P8+'Лен '!P9+Высокор!P9+Гост!P9+Новотр!P9+Черн!P9</f>
        <v>25.7</v>
      </c>
      <c r="Q9" s="97">
        <f>муниц!Q8+'Лен '!Q9+Высокор!Q9+Гост!Q9+Новотр!Q9+Черн!Q9</f>
        <v>9.900000000000002</v>
      </c>
      <c r="R9" s="97">
        <f>муниц!R8+'Лен '!R9+Высокор!R9+Гост!R9+Новотр!R9+Черн!R9</f>
        <v>9.3</v>
      </c>
      <c r="S9" s="25"/>
    </row>
    <row r="10" spans="1:19" ht="18" customHeight="1">
      <c r="A10" s="11" t="s">
        <v>47</v>
      </c>
      <c r="B10" s="19">
        <v>1030200001</v>
      </c>
      <c r="C10" s="102">
        <f aca="true" t="shared" si="5" ref="C10:H10">SUM(C11:C14)</f>
        <v>12125.027</v>
      </c>
      <c r="D10" s="102">
        <f t="shared" si="5"/>
        <v>147.017</v>
      </c>
      <c r="E10" s="102">
        <f t="shared" si="5"/>
        <v>12272.044</v>
      </c>
      <c r="F10" s="102">
        <f t="shared" si="5"/>
        <v>0</v>
      </c>
      <c r="G10" s="102">
        <f t="shared" si="5"/>
        <v>4731.9</v>
      </c>
      <c r="H10" s="102">
        <f t="shared" si="5"/>
        <v>5702.7</v>
      </c>
      <c r="I10" s="96">
        <f t="shared" si="1"/>
        <v>0.4646903156474993</v>
      </c>
      <c r="J10" s="96">
        <f t="shared" si="2"/>
        <v>0</v>
      </c>
      <c r="K10" s="102">
        <f>SUM(K11:K14)</f>
        <v>4911.299999999999</v>
      </c>
      <c r="L10" s="96">
        <f t="shared" si="3"/>
        <v>1.1611385987416776</v>
      </c>
      <c r="M10" s="102">
        <f>SUM(M11:M14)</f>
        <v>970.8000000000001</v>
      </c>
      <c r="N10" s="102">
        <f>SUM(N11:N14)</f>
        <v>725.6</v>
      </c>
      <c r="O10" s="96">
        <f t="shared" si="4"/>
        <v>1.3379272326350606</v>
      </c>
      <c r="P10" s="102">
        <f>SUM(P11:P14)</f>
        <v>0</v>
      </c>
      <c r="Q10" s="102">
        <f>SUM(Q11:Q14)</f>
        <v>0</v>
      </c>
      <c r="R10" s="102">
        <f>SUM(R11:R14)</f>
        <v>0</v>
      </c>
      <c r="S10" s="25"/>
    </row>
    <row r="11" spans="1:19" ht="18">
      <c r="A11" s="12" t="s">
        <v>48</v>
      </c>
      <c r="B11" s="12">
        <v>1030223101</v>
      </c>
      <c r="C11" s="97">
        <f>муниц!C10+'Лен '!C11+Высокор!C11+Гост!C11+Новотр!C11+Черн!C11</f>
        <v>5567.333000000001</v>
      </c>
      <c r="D11" s="97">
        <f>муниц!D10+'Лен '!D11+Высокор!D11+Гост!D11+Новотр!D11+Черн!D11</f>
        <v>147.017</v>
      </c>
      <c r="E11" s="98">
        <f>C11+D11</f>
        <v>5714.350000000001</v>
      </c>
      <c r="F11" s="97">
        <f>муниц!F10+'Лен '!F11+Высокор!F11+Гост!F11+Новотр!F11+Черн!F11</f>
        <v>0</v>
      </c>
      <c r="G11" s="97">
        <f>муниц!G10+'Лен '!G11+Высокор!G11+Гост!G11+Новотр!G11+Черн!G11</f>
        <v>2144.5</v>
      </c>
      <c r="H11" s="99">
        <f>G11+M11</f>
        <v>2578.7</v>
      </c>
      <c r="I11" s="100">
        <f t="shared" si="1"/>
        <v>0.4512674232414884</v>
      </c>
      <c r="J11" s="100">
        <f t="shared" si="2"/>
        <v>0</v>
      </c>
      <c r="K11" s="97">
        <f>муниц!K10+'Лен '!K11+Высокор!K11+Гост!K11+Новотр!K11+Черн!K11</f>
        <v>2326.9999999999995</v>
      </c>
      <c r="L11" s="100">
        <f t="shared" si="3"/>
        <v>1.1081650193382038</v>
      </c>
      <c r="M11" s="97">
        <f>муниц!M10+'Лен '!M11+Высокор!M11+Гост!M11+Новотр!M11+Черн!M11</f>
        <v>434.20000000000005</v>
      </c>
      <c r="N11" s="97">
        <f>муниц!N10+'Лен '!N11+Высокор!N11+Гост!N11+Новотр!N11+Черн!N11</f>
        <v>358.40000000000003</v>
      </c>
      <c r="O11" s="100">
        <f t="shared" si="4"/>
        <v>1.2114955357142858</v>
      </c>
      <c r="P11" s="97">
        <f>муниц!P10+'Лен '!P11+Высокор!P11+Гост!P11+Новотр!P11+Черн!P11</f>
        <v>0</v>
      </c>
      <c r="Q11" s="97">
        <f>муниц!Q10+'Лен '!Q11+Высокор!Q11+Гост!Q11+Новотр!Q11+Черн!Q11</f>
        <v>0</v>
      </c>
      <c r="R11" s="97">
        <f>муниц!R10+'Лен '!R11+Высокор!R11+Гост!R11+Новотр!R11+Черн!R11</f>
        <v>0</v>
      </c>
      <c r="S11" s="25"/>
    </row>
    <row r="12" spans="1:19" ht="18">
      <c r="A12" s="12" t="s">
        <v>49</v>
      </c>
      <c r="B12" s="12">
        <v>1030224101</v>
      </c>
      <c r="C12" s="97">
        <f>муниц!C11+'Лен '!C12+Высокор!C12+Гост!C12+Новотр!C12+Черн!C12</f>
        <v>31.699000000000005</v>
      </c>
      <c r="D12" s="97">
        <f>муниц!D11+'Лен '!D12+Высокор!D12+Гост!D12+Новотр!D12+Черн!D12</f>
        <v>0</v>
      </c>
      <c r="E12" s="98">
        <f>C12+D12</f>
        <v>31.699000000000005</v>
      </c>
      <c r="F12" s="97">
        <f>муниц!F11+'Лен '!F12+Высокор!F12+Гост!F12+Новотр!F12+Черн!F12</f>
        <v>0</v>
      </c>
      <c r="G12" s="97">
        <f>муниц!G11+'Лен '!G12+Высокор!G12+Гост!G12+Новотр!G12+Черн!G12</f>
        <v>16.1</v>
      </c>
      <c r="H12" s="99">
        <f>G12+M12</f>
        <v>19.5</v>
      </c>
      <c r="I12" s="100">
        <f t="shared" si="1"/>
        <v>0.6151613615571468</v>
      </c>
      <c r="J12" s="100">
        <f t="shared" si="2"/>
        <v>0</v>
      </c>
      <c r="K12" s="97">
        <f>муниц!K11+'Лен '!K12+Высокор!K12+Гост!K12+Новотр!K12+Черн!K12</f>
        <v>15.1</v>
      </c>
      <c r="L12" s="100">
        <f t="shared" si="3"/>
        <v>1.2913907284768211</v>
      </c>
      <c r="M12" s="97">
        <f>муниц!M11+'Лен '!M12+Высокор!M12+Гост!M12+Новотр!M12+Черн!M12</f>
        <v>3.4000000000000004</v>
      </c>
      <c r="N12" s="97">
        <f>муниц!N11+'Лен '!N12+Высокор!N12+Гост!N12+Новотр!N12+Черн!N12</f>
        <v>2.6000000000000005</v>
      </c>
      <c r="O12" s="100">
        <f t="shared" si="4"/>
        <v>1.3076923076923075</v>
      </c>
      <c r="P12" s="97">
        <f>муниц!P11+'Лен '!P12+Высокор!P12+Гост!P12+Новотр!P12+Черн!P12</f>
        <v>0</v>
      </c>
      <c r="Q12" s="97">
        <f>муниц!Q11+'Лен '!Q12+Высокор!Q12+Гост!Q12+Новотр!Q12+Черн!Q12</f>
        <v>0</v>
      </c>
      <c r="R12" s="97">
        <f>муниц!R11+'Лен '!R12+Высокор!R12+Гост!R12+Новотр!R12+Черн!R12</f>
        <v>0</v>
      </c>
      <c r="S12" s="25"/>
    </row>
    <row r="13" spans="1:19" ht="18" customHeight="1">
      <c r="A13" s="12" t="s">
        <v>50</v>
      </c>
      <c r="B13" s="12">
        <v>1030225101</v>
      </c>
      <c r="C13" s="97">
        <f>муниц!C12+'Лен '!C13+Высокор!C13+Гост!C13+Новотр!C13+Черн!C13</f>
        <v>7323.595999999999</v>
      </c>
      <c r="D13" s="97">
        <f>муниц!D12+'Лен '!D13+Высокор!D13+Гост!D13+Новотр!D13+Черн!D13</f>
        <v>0</v>
      </c>
      <c r="E13" s="98">
        <f>C13+D13</f>
        <v>7323.595999999999</v>
      </c>
      <c r="F13" s="97">
        <f>муниц!F12+'Лен '!F13+Высокор!F13+Гост!F13+Новотр!F13+Черн!F13</f>
        <v>0</v>
      </c>
      <c r="G13" s="97">
        <f>муниц!G12+'Лен '!G13+Высокор!G13+Гост!G13+Новотр!G13+Черн!G13</f>
        <v>2944.4</v>
      </c>
      <c r="H13" s="99">
        <f>G13+M13</f>
        <v>3585.7000000000003</v>
      </c>
      <c r="I13" s="100">
        <f t="shared" si="1"/>
        <v>0.48960920291070137</v>
      </c>
      <c r="J13" s="100">
        <f t="shared" si="2"/>
        <v>0</v>
      </c>
      <c r="K13" s="97">
        <f>муниц!K12+'Лен '!K13+Высокор!K13+Гост!K13+Новотр!K13+Черн!K13</f>
        <v>3032.2999999999997</v>
      </c>
      <c r="L13" s="100">
        <f t="shared" si="3"/>
        <v>1.1825017313590347</v>
      </c>
      <c r="M13" s="97">
        <f>муниц!M12+'Лен '!M13+Высокор!M13+Гост!M13+Новотр!M13+Черн!M13</f>
        <v>641.3000000000001</v>
      </c>
      <c r="N13" s="97">
        <f>муниц!N12+'Лен '!N13+Высокор!N13+Гост!N13+Новотр!N13+Черн!N13</f>
        <v>415.3</v>
      </c>
      <c r="O13" s="100">
        <f t="shared" si="4"/>
        <v>1.544184926559114</v>
      </c>
      <c r="P13" s="97">
        <f>муниц!P12+'Лен '!P13+Высокор!P13+Гост!P13+Новотр!P13+Черн!P13</f>
        <v>0</v>
      </c>
      <c r="Q13" s="97">
        <f>муниц!Q12+'Лен '!Q13+Высокор!Q13+Гост!Q13+Новотр!Q13+Черн!Q13</f>
        <v>0</v>
      </c>
      <c r="R13" s="97">
        <f>муниц!R12+'Лен '!R13+Высокор!R13+Гост!R13+Новотр!R13+Черн!R13</f>
        <v>0</v>
      </c>
      <c r="S13" s="25"/>
    </row>
    <row r="14" spans="1:19" ht="18">
      <c r="A14" s="12" t="s">
        <v>51</v>
      </c>
      <c r="B14" s="12">
        <v>1030226101</v>
      </c>
      <c r="C14" s="97">
        <f>муниц!C13+'Лен '!C14+Высокор!C14+Гост!C14+Новотр!C14+Черн!C14</f>
        <v>-797.601</v>
      </c>
      <c r="D14" s="97">
        <f>муниц!D13+'Лен '!D14+Высокор!D14+Гост!D14+Новотр!D14+Черн!D14</f>
        <v>0</v>
      </c>
      <c r="E14" s="98">
        <f>C14+D14</f>
        <v>-797.601</v>
      </c>
      <c r="F14" s="97">
        <f>муниц!F13+'Лен '!F14+Высокор!F14+Гост!F14+Новотр!F14+Черн!F14</f>
        <v>0</v>
      </c>
      <c r="G14" s="97">
        <f>муниц!G13+'Лен '!G14+Высокор!G14+Гост!G14+Новотр!G14+Черн!G14</f>
        <v>-373.1</v>
      </c>
      <c r="H14" s="99">
        <f>G14+M14</f>
        <v>-481.20000000000005</v>
      </c>
      <c r="I14" s="100">
        <f>H14/E14</f>
        <v>0.6033091733836844</v>
      </c>
      <c r="J14" s="100">
        <f t="shared" si="2"/>
        <v>0</v>
      </c>
      <c r="K14" s="97">
        <f>муниц!K13+'Лен '!K14+Высокор!K14+Гост!K14+Новотр!K14+Черн!K14</f>
        <v>-463.09999999999997</v>
      </c>
      <c r="L14" s="100">
        <f t="shared" si="3"/>
        <v>0</v>
      </c>
      <c r="M14" s="97">
        <f>муниц!M13+'Лен '!M14+Высокор!M14+Гост!M14+Новотр!M14+Черн!M14</f>
        <v>-108.1</v>
      </c>
      <c r="N14" s="97">
        <f>муниц!N13+'Лен '!N14+Высокор!N14+Гост!N14+Новотр!N14+Черн!N14</f>
        <v>-50.699999999999996</v>
      </c>
      <c r="O14" s="100">
        <f t="shared" si="4"/>
        <v>0</v>
      </c>
      <c r="P14" s="97">
        <f>муниц!P13+'Лен '!P14+Высокор!P14+Гост!P14+Новотр!P14+Черн!P14</f>
        <v>0</v>
      </c>
      <c r="Q14" s="97">
        <f>муниц!Q13+'Лен '!Q14+Высокор!Q14+Гост!Q14+Новотр!Q14+Черн!Q14</f>
        <v>0</v>
      </c>
      <c r="R14" s="97">
        <f>муниц!R13+'Лен '!R14+Высокор!R14+Гост!R14+Новотр!R14+Черн!R14</f>
        <v>0</v>
      </c>
      <c r="S14" s="25"/>
    </row>
    <row r="15" spans="1:19" ht="18">
      <c r="A15" s="9" t="s">
        <v>81</v>
      </c>
      <c r="B15" s="18">
        <v>1050000000</v>
      </c>
      <c r="C15" s="95">
        <f aca="true" t="shared" si="6" ref="C15:H15">C16+C17+C18+C19+C20</f>
        <v>26141</v>
      </c>
      <c r="D15" s="95">
        <f t="shared" si="6"/>
        <v>930</v>
      </c>
      <c r="E15" s="95">
        <f t="shared" si="6"/>
        <v>27071</v>
      </c>
      <c r="F15" s="95">
        <f t="shared" si="6"/>
        <v>11352.9</v>
      </c>
      <c r="G15" s="95">
        <f t="shared" si="6"/>
        <v>18413.399999999998</v>
      </c>
      <c r="H15" s="95">
        <f t="shared" si="6"/>
        <v>19739.8</v>
      </c>
      <c r="I15" s="96">
        <f t="shared" si="1"/>
        <v>0.7291862140297736</v>
      </c>
      <c r="J15" s="96">
        <f t="shared" si="2"/>
        <v>1.738745166433246</v>
      </c>
      <c r="K15" s="95">
        <f>K16+K17+K18+K19+K20</f>
        <v>14776.7</v>
      </c>
      <c r="L15" s="96">
        <f t="shared" si="3"/>
        <v>1.3358733682080572</v>
      </c>
      <c r="M15" s="95">
        <f>M16+M17+M18+M19+M20</f>
        <v>1326.3999999999999</v>
      </c>
      <c r="N15" s="95">
        <f>N16+N17+N18+N19+N20</f>
        <v>1735.7</v>
      </c>
      <c r="O15" s="96">
        <f t="shared" si="4"/>
        <v>0.7641873595667453</v>
      </c>
      <c r="P15" s="95">
        <f>P16+P17+P18+P19+P20</f>
        <v>354.50000000000006</v>
      </c>
      <c r="Q15" s="95">
        <f>Q16+Q17+Q18+Q19+Q20</f>
        <v>1536.1000000000001</v>
      </c>
      <c r="R15" s="95">
        <f>R16+R17+R18+R19+R20</f>
        <v>1240.9</v>
      </c>
      <c r="S15" s="25"/>
    </row>
    <row r="16" spans="1:19" ht="18">
      <c r="A16" s="10" t="s">
        <v>52</v>
      </c>
      <c r="B16" s="27">
        <v>1050101001</v>
      </c>
      <c r="C16" s="97">
        <f>муниц!C15</f>
        <v>21000</v>
      </c>
      <c r="D16" s="97">
        <f>муниц!D15</f>
        <v>0</v>
      </c>
      <c r="E16" s="101">
        <f>C16+D16</f>
        <v>21000</v>
      </c>
      <c r="F16" s="97">
        <f>муниц!F15</f>
        <v>7051</v>
      </c>
      <c r="G16" s="97">
        <f>муниц!G15</f>
        <v>12421.9</v>
      </c>
      <c r="H16" s="99">
        <f>G16+M16</f>
        <v>13572.5</v>
      </c>
      <c r="I16" s="100">
        <f t="shared" si="1"/>
        <v>0.6463095238095238</v>
      </c>
      <c r="J16" s="100">
        <f t="shared" si="2"/>
        <v>1.9249042688980287</v>
      </c>
      <c r="K16" s="97">
        <f>муниц!K15</f>
        <v>9936.2</v>
      </c>
      <c r="L16" s="100">
        <f t="shared" si="3"/>
        <v>1.3659648557798756</v>
      </c>
      <c r="M16" s="97">
        <f>муниц!M15</f>
        <v>1150.6</v>
      </c>
      <c r="N16" s="97">
        <f>муниц!N15</f>
        <v>1203.5</v>
      </c>
      <c r="O16" s="100">
        <f t="shared" si="4"/>
        <v>0.9560448691316992</v>
      </c>
      <c r="P16" s="97">
        <f>муниц!P15</f>
        <v>326.70000000000005</v>
      </c>
      <c r="Q16" s="97">
        <f>муниц!Q15</f>
        <v>1507</v>
      </c>
      <c r="R16" s="97">
        <f>муниц!R15</f>
        <v>1215</v>
      </c>
      <c r="S16" s="25"/>
    </row>
    <row r="17" spans="1:19" ht="18">
      <c r="A17" s="10" t="s">
        <v>53</v>
      </c>
      <c r="B17" s="27">
        <v>1050102001</v>
      </c>
      <c r="C17" s="97">
        <f>муниц!C16</f>
        <v>2800</v>
      </c>
      <c r="D17" s="97">
        <f>муниц!D16</f>
        <v>0</v>
      </c>
      <c r="E17" s="101">
        <f>C17+D17</f>
        <v>2800</v>
      </c>
      <c r="F17" s="97">
        <f>муниц!F16</f>
        <v>1509</v>
      </c>
      <c r="G17" s="97">
        <f>муниц!G16</f>
        <v>3883.6</v>
      </c>
      <c r="H17" s="99">
        <f>G17+M17</f>
        <v>3908.2</v>
      </c>
      <c r="I17" s="100">
        <f t="shared" si="1"/>
        <v>1.3957857142857142</v>
      </c>
      <c r="J17" s="100">
        <f t="shared" si="2"/>
        <v>2.589927104042412</v>
      </c>
      <c r="K17" s="97">
        <f>муниц!K16</f>
        <v>1326.9</v>
      </c>
      <c r="L17" s="100">
        <f t="shared" si="3"/>
        <v>2.9453613686035114</v>
      </c>
      <c r="M17" s="97">
        <f>муниц!M16</f>
        <v>24.6</v>
      </c>
      <c r="N17" s="97">
        <f>муниц!N16</f>
        <v>153.3</v>
      </c>
      <c r="O17" s="100">
        <f t="shared" si="4"/>
        <v>0.16046966731898238</v>
      </c>
      <c r="P17" s="97">
        <f>муниц!P16</f>
        <v>0</v>
      </c>
      <c r="Q17" s="97">
        <f>муниц!Q16</f>
        <v>2.3</v>
      </c>
      <c r="R17" s="97">
        <f>муниц!R16</f>
        <v>2.3</v>
      </c>
      <c r="S17" s="25"/>
    </row>
    <row r="18" spans="1:19" ht="18">
      <c r="A18" s="13" t="s">
        <v>0</v>
      </c>
      <c r="B18" s="27">
        <v>1050200001</v>
      </c>
      <c r="C18" s="97">
        <f>муниц!C17</f>
        <v>581</v>
      </c>
      <c r="D18" s="97">
        <f>муниц!D17</f>
        <v>735</v>
      </c>
      <c r="E18" s="101">
        <f>C18+D18</f>
        <v>1316</v>
      </c>
      <c r="F18" s="97">
        <f>муниц!F17</f>
        <v>2641</v>
      </c>
      <c r="G18" s="97">
        <f>муниц!G17</f>
        <v>1314.2</v>
      </c>
      <c r="H18" s="99">
        <f>G18+M18</f>
        <v>1320.7</v>
      </c>
      <c r="I18" s="100">
        <f t="shared" si="1"/>
        <v>1.0035714285714286</v>
      </c>
      <c r="J18" s="100">
        <f t="shared" si="2"/>
        <v>0.5000757288905717</v>
      </c>
      <c r="K18" s="97">
        <f>муниц!K17</f>
        <v>2371</v>
      </c>
      <c r="L18" s="100">
        <f t="shared" si="3"/>
        <v>0.5570223534373682</v>
      </c>
      <c r="M18" s="97">
        <f>муниц!M17</f>
        <v>6.5</v>
      </c>
      <c r="N18" s="97">
        <f>муниц!N17</f>
        <v>330.7</v>
      </c>
      <c r="O18" s="100">
        <f t="shared" si="4"/>
        <v>0.019655276685817964</v>
      </c>
      <c r="P18" s="97">
        <f>муниц!P17</f>
        <v>27.8</v>
      </c>
      <c r="Q18" s="97">
        <f>муниц!Q17</f>
        <v>9.7</v>
      </c>
      <c r="R18" s="97">
        <f>муниц!R17</f>
        <v>6.5</v>
      </c>
      <c r="S18" s="25"/>
    </row>
    <row r="19" spans="1:19" ht="18">
      <c r="A19" s="13" t="s">
        <v>7</v>
      </c>
      <c r="B19" s="27">
        <v>1050300001</v>
      </c>
      <c r="C19" s="97">
        <f>муниц!C18+'Лен '!C16+Высокор!C16+Гост!C16+Новотр!C16+Черн!C16</f>
        <v>1260</v>
      </c>
      <c r="D19" s="97">
        <f>муниц!D18+'Лен '!D16+Высокор!D16+Гост!D16+Новотр!D16+Черн!D16</f>
        <v>0</v>
      </c>
      <c r="E19" s="101">
        <f>C19+D19</f>
        <v>1260</v>
      </c>
      <c r="F19" s="97">
        <f>муниц!F18+'Лен '!F16+Высокор!F16+Гост!F16+Новотр!F16+Черн!F16</f>
        <v>63</v>
      </c>
      <c r="G19" s="97">
        <f>муниц!G18+'Лен '!G16+Высокор!G16+Гост!G16+Новотр!G16+Черн!G16</f>
        <v>65.1</v>
      </c>
      <c r="H19" s="99">
        <f>G19+M19</f>
        <v>65.1</v>
      </c>
      <c r="I19" s="100">
        <f t="shared" si="1"/>
        <v>0.05166666666666666</v>
      </c>
      <c r="J19" s="100">
        <f t="shared" si="2"/>
        <v>1.0333333333333332</v>
      </c>
      <c r="K19" s="97">
        <f>муниц!K18+'Лен '!K16+Высокор!K16+Гост!K16+Новотр!K16+Черн!K16</f>
        <v>851.0000000000001</v>
      </c>
      <c r="L19" s="100">
        <f t="shared" si="3"/>
        <v>0.07649823736780256</v>
      </c>
      <c r="M19" s="97">
        <f>муниц!M18+'Лен '!M16+Высокор!M16+Гост!M16+Новотр!M16+Черн!M16</f>
        <v>0</v>
      </c>
      <c r="N19" s="97">
        <f>муниц!N18+'Лен '!N16+Высокор!N16+Гост!N16+Новотр!N16+Черн!N16</f>
        <v>24.299999999999997</v>
      </c>
      <c r="O19" s="100">
        <f t="shared" si="4"/>
        <v>0</v>
      </c>
      <c r="P19" s="97">
        <f>муниц!P18+'Лен '!P16+Высокор!P16+Гост!P16+Новотр!P16+Черн!P16</f>
        <v>0</v>
      </c>
      <c r="Q19" s="97">
        <f>муниц!Q18+'Лен '!Q16+Высокор!Q16+Гост!Q16+Новотр!Q16+Черн!Q16</f>
        <v>5.4</v>
      </c>
      <c r="R19" s="97">
        <f>муниц!R18+'Лен '!R16+Высокор!R16+Гост!R16+Новотр!R16+Черн!R16</f>
        <v>5.4</v>
      </c>
      <c r="S19" s="25"/>
    </row>
    <row r="20" spans="1:19" ht="18">
      <c r="A20" s="10" t="s">
        <v>95</v>
      </c>
      <c r="B20" s="27">
        <v>1050402002</v>
      </c>
      <c r="C20" s="97">
        <f>муниц!C19</f>
        <v>500</v>
      </c>
      <c r="D20" s="97">
        <f>муниц!D19</f>
        <v>195</v>
      </c>
      <c r="E20" s="101">
        <f>C20+D20</f>
        <v>695</v>
      </c>
      <c r="F20" s="97">
        <f>муниц!F19</f>
        <v>88.9</v>
      </c>
      <c r="G20" s="97">
        <f>муниц!G19</f>
        <v>728.6</v>
      </c>
      <c r="H20" s="99">
        <f>G20+M20</f>
        <v>873.3</v>
      </c>
      <c r="I20" s="100">
        <f t="shared" si="1"/>
        <v>1.256546762589928</v>
      </c>
      <c r="J20" s="100">
        <f t="shared" si="2"/>
        <v>9.823397075365579</v>
      </c>
      <c r="K20" s="97">
        <f>муниц!K19</f>
        <v>291.6</v>
      </c>
      <c r="L20" s="100">
        <f t="shared" si="3"/>
        <v>2.994855967078189</v>
      </c>
      <c r="M20" s="97">
        <f>муниц!M19</f>
        <v>144.7</v>
      </c>
      <c r="N20" s="97">
        <f>муниц!N19</f>
        <v>23.9</v>
      </c>
      <c r="O20" s="100">
        <f t="shared" si="4"/>
        <v>6.054393305439331</v>
      </c>
      <c r="P20" s="97">
        <f>муниц!P19</f>
        <v>0</v>
      </c>
      <c r="Q20" s="97">
        <f>муниц!Q19</f>
        <v>11.7</v>
      </c>
      <c r="R20" s="97">
        <f>муниц!R19</f>
        <v>11.7</v>
      </c>
      <c r="S20" s="25"/>
    </row>
    <row r="21" spans="1:19" ht="18">
      <c r="A21" s="9" t="s">
        <v>79</v>
      </c>
      <c r="B21" s="18">
        <v>1060000000</v>
      </c>
      <c r="C21" s="103">
        <f aca="true" t="shared" si="7" ref="C21:H21">C22+C23+C24</f>
        <v>7772</v>
      </c>
      <c r="D21" s="103">
        <f t="shared" si="7"/>
        <v>0</v>
      </c>
      <c r="E21" s="103">
        <f t="shared" si="7"/>
        <v>7772</v>
      </c>
      <c r="F21" s="103">
        <f t="shared" si="7"/>
        <v>1983</v>
      </c>
      <c r="G21" s="103">
        <f t="shared" si="7"/>
        <v>3708.8</v>
      </c>
      <c r="H21" s="103">
        <f t="shared" si="7"/>
        <v>3842.4</v>
      </c>
      <c r="I21" s="96">
        <f t="shared" si="1"/>
        <v>0.494390118373649</v>
      </c>
      <c r="J21" s="96">
        <f t="shared" si="2"/>
        <v>1.9376701966717096</v>
      </c>
      <c r="K21" s="103">
        <f>K22+K23+K24</f>
        <v>3107.2000000000003</v>
      </c>
      <c r="L21" s="96">
        <f t="shared" si="3"/>
        <v>1.2366117404737382</v>
      </c>
      <c r="M21" s="103">
        <f>M22+M23+M24</f>
        <v>133.6</v>
      </c>
      <c r="N21" s="103">
        <f>N22+N23+N24</f>
        <v>45.7</v>
      </c>
      <c r="O21" s="96">
        <f t="shared" si="4"/>
        <v>2.923413566739606</v>
      </c>
      <c r="P21" s="95">
        <f>P22+P23+P24</f>
        <v>598.4000000000001</v>
      </c>
      <c r="Q21" s="103">
        <f>Q22+Q23+Q24</f>
        <v>321.4</v>
      </c>
      <c r="R21" s="103">
        <f>R22+R23+R24</f>
        <v>336.3</v>
      </c>
      <c r="S21" s="25"/>
    </row>
    <row r="22" spans="1:19" ht="18">
      <c r="A22" s="13" t="s">
        <v>16</v>
      </c>
      <c r="B22" s="13">
        <v>1060103003</v>
      </c>
      <c r="C22" s="97">
        <f>'Лен '!C21+Высокор!C21+Гост!C21+Новотр!C21+Черн!C21</f>
        <v>1100</v>
      </c>
      <c r="D22" s="97">
        <f>'Лен '!D21+Высокор!D21+Гост!D21+Новотр!D21+Черн!D21</f>
        <v>0</v>
      </c>
      <c r="E22" s="101">
        <f>C22+D22</f>
        <v>1100</v>
      </c>
      <c r="F22" s="97">
        <f>'Лен '!F21+Высокор!F21+Гост!F21+Новотр!F21+Черн!F21</f>
        <v>0</v>
      </c>
      <c r="G22" s="99">
        <f>'Лен '!G21+Высокор!G21+Гост!G21+Новотр!G21+Черн!G21</f>
        <v>154.1</v>
      </c>
      <c r="H22" s="99">
        <f>G22+M22</f>
        <v>189.5</v>
      </c>
      <c r="I22" s="100">
        <f>IF(E22&gt;0,H22/E22,0)</f>
        <v>0.17227272727272727</v>
      </c>
      <c r="J22" s="100">
        <f>IF(F22&gt;0,H22/F22,0)</f>
        <v>0</v>
      </c>
      <c r="K22" s="99">
        <f>'Лен '!K21+Высокор!K21+Гост!K21+Новотр!K21+Черн!K21</f>
        <v>62.8</v>
      </c>
      <c r="L22" s="100">
        <f>IF(K22&gt;0,H22/K22,0)</f>
        <v>3.017515923566879</v>
      </c>
      <c r="M22" s="99">
        <f>'Лен '!M21+Высокор!M21+Гост!M21+Новотр!M21+Черн!M21</f>
        <v>35.4</v>
      </c>
      <c r="N22" s="99">
        <f>'Лен '!N21+Высокор!N21+Гост!N21+Новотр!N21+Черн!N21</f>
        <v>9.6</v>
      </c>
      <c r="O22" s="100">
        <f>IF(N22&gt;0,M22/N22,0)</f>
        <v>3.6875</v>
      </c>
      <c r="P22" s="99">
        <f>'Лен '!P21+Высокор!P21+Гост!P21+Новотр!P21+Черн!P21</f>
        <v>369.1</v>
      </c>
      <c r="Q22" s="99">
        <f>'Лен '!Q21+Высокор!Q21+Гост!Q21+Новотр!Q21+Черн!Q21</f>
        <v>160.2</v>
      </c>
      <c r="R22" s="99">
        <f>'Лен '!R21+Высокор!R21+Гост!R21+Новотр!R21+Черн!R21</f>
        <v>154.8</v>
      </c>
      <c r="S22" s="25"/>
    </row>
    <row r="23" spans="1:19" ht="18">
      <c r="A23" s="13" t="s">
        <v>19</v>
      </c>
      <c r="B23" s="13">
        <v>1060201002</v>
      </c>
      <c r="C23" s="97">
        <f>муниц!C20</f>
        <v>5300</v>
      </c>
      <c r="D23" s="97">
        <f>муниц!D20</f>
        <v>0</v>
      </c>
      <c r="E23" s="101">
        <f>C23+D23</f>
        <v>5300</v>
      </c>
      <c r="F23" s="97">
        <f>муниц!F20</f>
        <v>1983</v>
      </c>
      <c r="G23" s="97">
        <f>муниц!G20</f>
        <v>3179.9</v>
      </c>
      <c r="H23" s="99">
        <f>G23+M23</f>
        <v>3179.9</v>
      </c>
      <c r="I23" s="100">
        <f t="shared" si="1"/>
        <v>0.5999811320754718</v>
      </c>
      <c r="J23" s="100">
        <f t="shared" si="2"/>
        <v>1.603580433686334</v>
      </c>
      <c r="K23" s="97">
        <f>муниц!K20</f>
        <v>2722.8</v>
      </c>
      <c r="L23" s="100">
        <f t="shared" si="3"/>
        <v>1.1678786543264286</v>
      </c>
      <c r="M23" s="97">
        <f>муниц!M20</f>
        <v>0</v>
      </c>
      <c r="N23" s="97">
        <f>муниц!N20</f>
        <v>18.9</v>
      </c>
      <c r="O23" s="100">
        <f t="shared" si="4"/>
        <v>0</v>
      </c>
      <c r="P23" s="97">
        <f>муниц!P20</f>
        <v>0</v>
      </c>
      <c r="Q23" s="97">
        <f>муниц!Q20</f>
        <v>1</v>
      </c>
      <c r="R23" s="97">
        <f>муниц!R20</f>
        <v>1</v>
      </c>
      <c r="S23" s="25"/>
    </row>
    <row r="24" spans="1:19" ht="18">
      <c r="A24" s="13" t="s">
        <v>15</v>
      </c>
      <c r="B24" s="13">
        <v>1060600000</v>
      </c>
      <c r="C24" s="97">
        <f>'Лен '!C18+Высокор!C18+Гост!C18+Новотр!C18+Черн!C18</f>
        <v>1372</v>
      </c>
      <c r="D24" s="97">
        <f>'Лен '!D18+Высокор!D18+Гост!D18+Новотр!D18+Черн!D18</f>
        <v>0</v>
      </c>
      <c r="E24" s="98">
        <f>C24+D24</f>
        <v>1372</v>
      </c>
      <c r="F24" s="97">
        <f>'Лен '!F18+Высокор!F18+Гост!F18+Новотр!F18+Черн!F18</f>
        <v>0</v>
      </c>
      <c r="G24" s="99">
        <f>'Лен '!G18+Высокор!G18+Гост!G18+Новотр!G18+Черн!G18</f>
        <v>374.80000000000007</v>
      </c>
      <c r="H24" s="99">
        <f>G24+M24</f>
        <v>473.00000000000006</v>
      </c>
      <c r="I24" s="100">
        <f t="shared" si="1"/>
        <v>0.3447521865889213</v>
      </c>
      <c r="J24" s="100">
        <f t="shared" si="2"/>
        <v>0</v>
      </c>
      <c r="K24" s="99">
        <f>'Лен '!K18+Высокор!K18+Гост!K18+Новотр!K18+Черн!K18</f>
        <v>321.6</v>
      </c>
      <c r="L24" s="100">
        <f t="shared" si="3"/>
        <v>1.4707711442786071</v>
      </c>
      <c r="M24" s="99">
        <f>'Лен '!M18+Высокор!M18+Гост!M18+Новотр!M18+Черн!M18</f>
        <v>98.19999999999999</v>
      </c>
      <c r="N24" s="99">
        <f>'Лен '!N18+Высокор!N18+Гост!N18+Новотр!N18+Черн!N18</f>
        <v>17.200000000000003</v>
      </c>
      <c r="O24" s="100">
        <f t="shared" si="4"/>
        <v>5.709302325581394</v>
      </c>
      <c r="P24" s="99">
        <f>'Лен '!P18+Высокор!P18+Гост!P18+Новотр!P18+Черн!P18</f>
        <v>229.3</v>
      </c>
      <c r="Q24" s="99">
        <f>'Лен '!Q18+Высокор!Q18+Гост!Q18+Новотр!Q18+Черн!Q18</f>
        <v>160.2</v>
      </c>
      <c r="R24" s="99">
        <f>'Лен '!R18+Высокор!R18+Гост!R18+Новотр!R18+Черн!R18</f>
        <v>180.5</v>
      </c>
      <c r="S24" s="25"/>
    </row>
    <row r="25" spans="1:19" ht="18">
      <c r="A25" s="9" t="s">
        <v>82</v>
      </c>
      <c r="B25" s="18">
        <v>1080000000</v>
      </c>
      <c r="C25" s="102">
        <f>муниц!C21+Высокор!C22+Гост!C22+Новотр!C22+Черн!C22</f>
        <v>712</v>
      </c>
      <c r="D25" s="102">
        <f>муниц!D21+Высокор!D22+Гост!D22+Новотр!D22+Черн!D22</f>
        <v>10</v>
      </c>
      <c r="E25" s="104">
        <f>C25+D25</f>
        <v>722</v>
      </c>
      <c r="F25" s="102">
        <f>муниц!F21+Высокор!F22+Гост!F22+Новотр!F22+Черн!F22</f>
        <v>289</v>
      </c>
      <c r="G25" s="102">
        <f>муниц!G21+Высокор!G22+Гост!G22+Новотр!G22+Черн!G22</f>
        <v>239.39999999999998</v>
      </c>
      <c r="H25" s="95">
        <f>G25+M25</f>
        <v>301</v>
      </c>
      <c r="I25" s="96">
        <f t="shared" si="1"/>
        <v>0.4168975069252078</v>
      </c>
      <c r="J25" s="96">
        <f t="shared" si="2"/>
        <v>1.041522491349481</v>
      </c>
      <c r="K25" s="102">
        <f>муниц!K21+Высокор!K22+Гост!K22+Новотр!K22+Черн!K22</f>
        <v>341.49999999999994</v>
      </c>
      <c r="L25" s="96">
        <f t="shared" si="3"/>
        <v>0.8814055636896049</v>
      </c>
      <c r="M25" s="102">
        <f>муниц!M21+Высокор!M22+Гост!M22+Новотр!M22+Черн!M22</f>
        <v>61.6</v>
      </c>
      <c r="N25" s="102">
        <f>муниц!N21+Высокор!N22+Гост!N22+Новотр!N22+Черн!N22</f>
        <v>67.9</v>
      </c>
      <c r="O25" s="96">
        <f t="shared" si="4"/>
        <v>0.9072164948453608</v>
      </c>
      <c r="P25" s="105"/>
      <c r="Q25" s="105"/>
      <c r="R25" s="105"/>
      <c r="S25" s="25"/>
    </row>
    <row r="26" spans="1:19" ht="18" hidden="1">
      <c r="A26" s="9" t="s">
        <v>83</v>
      </c>
      <c r="B26" s="18">
        <v>1090000000</v>
      </c>
      <c r="C26" s="102">
        <f>муниц!C22+'Лен '!C22+Высокор!C23+Гост!C23+Новотр!C23+Черн!C23</f>
        <v>0</v>
      </c>
      <c r="D26" s="102">
        <f>муниц!D22+'Лен '!D22+Высокор!D23+Гост!D23+Новотр!D23+Черн!D23</f>
        <v>0</v>
      </c>
      <c r="E26" s="104">
        <f>C26+D26</f>
        <v>0</v>
      </c>
      <c r="F26" s="102">
        <f>муниц!F22+'Лен '!F22+Высокор!F23+Гост!F23+Новотр!F23+Черн!F23</f>
        <v>0</v>
      </c>
      <c r="G26" s="102">
        <f>муниц!G22+'Лен '!G22+Высокор!G23+Гост!G23+Новотр!G23+Черн!G23</f>
        <v>0</v>
      </c>
      <c r="H26" s="95">
        <f>G26+M26</f>
        <v>0</v>
      </c>
      <c r="I26" s="96">
        <f t="shared" si="1"/>
        <v>0</v>
      </c>
      <c r="J26" s="96">
        <f t="shared" si="2"/>
        <v>0</v>
      </c>
      <c r="K26" s="102">
        <f>муниц!K22+'Лен '!K22+Высокор!K23+Гост!K23+Новотр!K23+Черн!K23</f>
        <v>0</v>
      </c>
      <c r="L26" s="96">
        <f t="shared" si="3"/>
        <v>0</v>
      </c>
      <c r="M26" s="102">
        <f>муниц!M22+'Лен '!M22+Высокор!M23+Гост!M23+Новотр!M23+Черн!M23</f>
        <v>0</v>
      </c>
      <c r="N26" s="102">
        <f>муниц!N22+'Лен '!N22+Высокор!N23+Гост!N23+Новотр!N23+Черн!N23</f>
        <v>0</v>
      </c>
      <c r="O26" s="96">
        <f t="shared" si="4"/>
        <v>0</v>
      </c>
      <c r="P26" s="102">
        <f>муниц!P22+'Лен '!P22+Высокор!P23+Гост!P23+Новотр!P23+Черн!P23</f>
        <v>0</v>
      </c>
      <c r="Q26" s="102">
        <f>муниц!Q22+'Лен '!Q22+Высокор!Q23+Гост!Q23+Новотр!Q23+Черн!Q23</f>
        <v>0</v>
      </c>
      <c r="R26" s="102">
        <f>муниц!R22+'Лен '!R22+Высокор!R23+Гост!R23+Новотр!R23+Черн!R23</f>
        <v>0</v>
      </c>
      <c r="S26" s="25"/>
    </row>
    <row r="27" spans="1:19" ht="18">
      <c r="A27" s="14" t="s">
        <v>22</v>
      </c>
      <c r="B27" s="20"/>
      <c r="C27" s="106">
        <f aca="true" t="shared" si="8" ref="C27:H27">C28+C34+C35+C39+C42+C43</f>
        <v>37416</v>
      </c>
      <c r="D27" s="107">
        <f t="shared" si="8"/>
        <v>5428.92</v>
      </c>
      <c r="E27" s="107">
        <f t="shared" si="8"/>
        <v>42844.91999999999</v>
      </c>
      <c r="F27" s="107">
        <f t="shared" si="8"/>
        <v>7948.7</v>
      </c>
      <c r="G27" s="107">
        <f t="shared" si="8"/>
        <v>6613.5</v>
      </c>
      <c r="H27" s="107">
        <f t="shared" si="8"/>
        <v>8136.299999999999</v>
      </c>
      <c r="I27" s="94">
        <f t="shared" si="1"/>
        <v>0.18990115981077807</v>
      </c>
      <c r="J27" s="94">
        <f t="shared" si="2"/>
        <v>1.023601343615937</v>
      </c>
      <c r="K27" s="107">
        <f>K28+K34+K35+K39+K42+K43</f>
        <v>6697.099999999999</v>
      </c>
      <c r="L27" s="94">
        <f t="shared" si="3"/>
        <v>1.2148989861283241</v>
      </c>
      <c r="M27" s="107">
        <f>M28+M34+M35+M39+M42+M43</f>
        <v>1522.8</v>
      </c>
      <c r="N27" s="107">
        <f>N28+N34+N35+N39+N42+N43</f>
        <v>901.9</v>
      </c>
      <c r="O27" s="94">
        <f t="shared" si="4"/>
        <v>1.6884355250027718</v>
      </c>
      <c r="P27" s="107">
        <f>P28+P34+P35+P39+P42+P43</f>
        <v>898.6</v>
      </c>
      <c r="Q27" s="107">
        <f>Q28+Q34+Q35+Q39+Q42+Q43</f>
        <v>584.1</v>
      </c>
      <c r="R27" s="107">
        <f>R28+R34+R35+R39+R42+R43</f>
        <v>541.3</v>
      </c>
      <c r="S27" s="25"/>
    </row>
    <row r="28" spans="1:19" ht="18">
      <c r="A28" s="9" t="s">
        <v>84</v>
      </c>
      <c r="B28" s="18">
        <v>1110000000</v>
      </c>
      <c r="C28" s="102">
        <f aca="true" t="shared" si="9" ref="C28:H28">SUM(C29:C33)</f>
        <v>4587.4</v>
      </c>
      <c r="D28" s="102">
        <f t="shared" si="9"/>
        <v>1246.9</v>
      </c>
      <c r="E28" s="102">
        <f t="shared" si="9"/>
        <v>5834.299999999999</v>
      </c>
      <c r="F28" s="102">
        <f t="shared" si="9"/>
        <v>2087.3</v>
      </c>
      <c r="G28" s="102">
        <f t="shared" si="9"/>
        <v>1744.9</v>
      </c>
      <c r="H28" s="102">
        <f t="shared" si="9"/>
        <v>2231.3</v>
      </c>
      <c r="I28" s="96">
        <f t="shared" si="1"/>
        <v>0.38244519479629097</v>
      </c>
      <c r="J28" s="96">
        <f t="shared" si="2"/>
        <v>1.0689886456187419</v>
      </c>
      <c r="K28" s="102">
        <f>SUM(K29:K33)</f>
        <v>2261.9</v>
      </c>
      <c r="L28" s="96">
        <f t="shared" si="3"/>
        <v>0.9864715504664221</v>
      </c>
      <c r="M28" s="102">
        <f>SUM(M29:M33)</f>
        <v>486.4</v>
      </c>
      <c r="N28" s="102">
        <f>SUM(N29:N33)</f>
        <v>457.79999999999995</v>
      </c>
      <c r="O28" s="96">
        <f t="shared" si="4"/>
        <v>1.0624726955002184</v>
      </c>
      <c r="P28" s="102">
        <f>SUM(P29:P33)</f>
        <v>898.6</v>
      </c>
      <c r="Q28" s="102">
        <f>SUM(Q29:Q33)</f>
        <v>584.1</v>
      </c>
      <c r="R28" s="102">
        <f>SUM(R29:R33)</f>
        <v>541.3</v>
      </c>
      <c r="S28" s="25"/>
    </row>
    <row r="29" spans="1:19" ht="0.75" customHeight="1">
      <c r="A29" s="13" t="s">
        <v>20</v>
      </c>
      <c r="B29" s="13">
        <v>1110105005</v>
      </c>
      <c r="C29" s="97">
        <f>муниц!C25</f>
        <v>0</v>
      </c>
      <c r="D29" s="97">
        <f>муниц!D25</f>
        <v>0</v>
      </c>
      <c r="E29" s="101">
        <f aca="true" t="shared" si="10" ref="E29:E43">C29+D29</f>
        <v>0</v>
      </c>
      <c r="F29" s="97">
        <f>муниц!F25</f>
        <v>0</v>
      </c>
      <c r="G29" s="97">
        <f>муниц!G25</f>
        <v>0</v>
      </c>
      <c r="H29" s="99">
        <f aca="true" t="shared" si="11" ref="H29:H34">G29+M29</f>
        <v>0</v>
      </c>
      <c r="I29" s="100">
        <f t="shared" si="1"/>
        <v>0</v>
      </c>
      <c r="J29" s="100">
        <f t="shared" si="2"/>
        <v>0</v>
      </c>
      <c r="K29" s="97">
        <f>муниц!K25</f>
        <v>0</v>
      </c>
      <c r="L29" s="100">
        <f t="shared" si="3"/>
        <v>0</v>
      </c>
      <c r="M29" s="97">
        <f>муниц!M25</f>
        <v>0</v>
      </c>
      <c r="N29" s="97">
        <f>муниц!N25</f>
        <v>0</v>
      </c>
      <c r="O29" s="100">
        <f t="shared" si="4"/>
        <v>0</v>
      </c>
      <c r="P29" s="97"/>
      <c r="Q29" s="97"/>
      <c r="R29" s="97"/>
      <c r="S29" s="25"/>
    </row>
    <row r="30" spans="1:19" ht="18">
      <c r="A30" s="13" t="s">
        <v>1</v>
      </c>
      <c r="B30" s="13">
        <v>1110501013</v>
      </c>
      <c r="C30" s="97">
        <f>муниц!C26+муниц!C27+'Лен '!C25+Высокор!C26+Гост!C26+Новотр!C26+Черн!C26+'Лен '!C26</f>
        <v>2887.2</v>
      </c>
      <c r="D30" s="97">
        <f>муниц!D26+муниц!D27+'Лен '!D25+Высокор!D26+Гост!D26+Новотр!D26+Черн!D26+'Лен '!D26</f>
        <v>0</v>
      </c>
      <c r="E30" s="101">
        <f t="shared" si="10"/>
        <v>2887.2</v>
      </c>
      <c r="F30" s="97">
        <f>муниц!F26+муниц!F27+'Лен '!F25+Высокор!F26+Гост!F26+Новотр!F26+Черн!F26</f>
        <v>900</v>
      </c>
      <c r="G30" s="97">
        <f>муниц!G26+муниц!G27+'Лен '!G25+'Лен '!G26+Высокор!G26+Гост!G26+Новотр!G26+Черн!G26</f>
        <v>649.4</v>
      </c>
      <c r="H30" s="99">
        <f t="shared" si="11"/>
        <v>855.9</v>
      </c>
      <c r="I30" s="100">
        <f t="shared" si="1"/>
        <v>0.29644638403990026</v>
      </c>
      <c r="J30" s="100">
        <f t="shared" si="2"/>
        <v>0.951</v>
      </c>
      <c r="K30" s="97">
        <f>муниц!K26+муниц!K27+'Лен '!K25+Высокор!K26+Гост!K26+Новотр!K26+Черн!K26+'Лен '!K26</f>
        <v>1283.3</v>
      </c>
      <c r="L30" s="100">
        <f t="shared" si="3"/>
        <v>0.666952388373724</v>
      </c>
      <c r="M30" s="97">
        <f>муниц!M26+муниц!M27+'Лен '!M25+'Лен '!M26+Новотр!M26</f>
        <v>206.5</v>
      </c>
      <c r="N30" s="97">
        <f>муниц!N26+муниц!N27+'Лен '!N25+Высокор!N26+Гост!N26+Новотр!N26+Черн!N26+'Лен '!N26</f>
        <v>311.5</v>
      </c>
      <c r="O30" s="100">
        <f t="shared" si="4"/>
        <v>0.6629213483146067</v>
      </c>
      <c r="P30" s="97">
        <f>муниц!P26+муниц!P27+'Лен '!P25+Высокор!P26+Гост!P26+Новотр!P26+Черн!P26</f>
        <v>418.70000000000005</v>
      </c>
      <c r="Q30" s="97">
        <f>муниц!Q26+муниц!Q27+'Лен '!Q25+Высокор!Q26+Гост!Q26+Новотр!Q26+Черн!Q26</f>
        <v>522.1</v>
      </c>
      <c r="R30" s="97">
        <f>муниц!R26+муниц!R27+'Лен '!R25+Высокор!R26+Гост!R26+Новотр!R26+Черн!R26</f>
        <v>405.5</v>
      </c>
      <c r="S30" s="25"/>
    </row>
    <row r="31" spans="1:19" ht="18">
      <c r="A31" s="13" t="s">
        <v>17</v>
      </c>
      <c r="B31" s="13">
        <v>1110503510</v>
      </c>
      <c r="C31" s="97">
        <f>муниц!C28</f>
        <v>670</v>
      </c>
      <c r="D31" s="97">
        <f>муниц!D28</f>
        <v>0</v>
      </c>
      <c r="E31" s="101">
        <f t="shared" si="10"/>
        <v>670</v>
      </c>
      <c r="F31" s="97">
        <f>муниц!F28</f>
        <v>1187.3</v>
      </c>
      <c r="G31" s="97">
        <f>муниц!G28</f>
        <v>288.8</v>
      </c>
      <c r="H31" s="99">
        <f t="shared" si="11"/>
        <v>355</v>
      </c>
      <c r="I31" s="100">
        <f t="shared" si="1"/>
        <v>0.5298507462686567</v>
      </c>
      <c r="J31" s="100">
        <f t="shared" si="2"/>
        <v>0.29899772593278867</v>
      </c>
      <c r="K31" s="97">
        <f>муниц!K28</f>
        <v>463.6</v>
      </c>
      <c r="L31" s="100">
        <f t="shared" si="3"/>
        <v>0.765746333045729</v>
      </c>
      <c r="M31" s="97">
        <f>муниц!M28</f>
        <v>66.2</v>
      </c>
      <c r="N31" s="97">
        <f>муниц!N28</f>
        <v>56.4</v>
      </c>
      <c r="O31" s="100">
        <f t="shared" si="4"/>
        <v>1.173758865248227</v>
      </c>
      <c r="P31" s="97">
        <f>муниц!P28+Новотр!P27</f>
        <v>418.4</v>
      </c>
      <c r="Q31" s="97">
        <f>муниц!Q28</f>
        <v>62</v>
      </c>
      <c r="R31" s="97">
        <f>муниц!R28</f>
        <v>49.3</v>
      </c>
      <c r="S31" s="25"/>
    </row>
    <row r="32" spans="1:19" ht="18">
      <c r="A32" s="13" t="s">
        <v>109</v>
      </c>
      <c r="B32" s="13">
        <v>1110507500</v>
      </c>
      <c r="C32" s="97">
        <f>'Лен '!C27+муниц!C29</f>
        <v>334.2</v>
      </c>
      <c r="D32" s="97">
        <f>'Лен '!D27+муниц!D29</f>
        <v>446.9</v>
      </c>
      <c r="E32" s="98">
        <f t="shared" si="10"/>
        <v>781.0999999999999</v>
      </c>
      <c r="F32" s="97">
        <f>'Лен '!F29+Гост!F27</f>
        <v>0</v>
      </c>
      <c r="G32" s="97">
        <f>'Лен '!G27+муниц!G29</f>
        <v>556.6</v>
      </c>
      <c r="H32" s="99">
        <f t="shared" si="11"/>
        <v>693.3</v>
      </c>
      <c r="I32" s="100">
        <f t="shared" si="1"/>
        <v>0.8875944181282807</v>
      </c>
      <c r="J32" s="100">
        <f t="shared" si="2"/>
        <v>0</v>
      </c>
      <c r="K32" s="97">
        <f>'Лен '!K27+муниц!K29</f>
        <v>176.3</v>
      </c>
      <c r="L32" s="100">
        <f t="shared" si="3"/>
        <v>3.9325014180374356</v>
      </c>
      <c r="M32" s="97">
        <f>'Лен '!M27+муниц!M29</f>
        <v>136.7</v>
      </c>
      <c r="N32" s="97">
        <f>'Лен '!N27+муниц!N29</f>
        <v>28.7</v>
      </c>
      <c r="O32" s="100">
        <f t="shared" si="4"/>
        <v>4.763066202090592</v>
      </c>
      <c r="P32" s="108"/>
      <c r="Q32" s="108"/>
      <c r="R32" s="108"/>
      <c r="S32" s="25"/>
    </row>
    <row r="33" spans="1:19" ht="18">
      <c r="A33" s="13" t="s">
        <v>23</v>
      </c>
      <c r="B33" s="13">
        <v>1110904505</v>
      </c>
      <c r="C33" s="97">
        <f>муниц!C30+'Лен '!C28+Высокор!C27+Гост!C28+Новотр!C27+Черн!C27</f>
        <v>696</v>
      </c>
      <c r="D33" s="97">
        <f>муниц!D30+'Лен '!D28+Высокор!D27+Гост!D28+Новотр!D27+Черн!D27</f>
        <v>800</v>
      </c>
      <c r="E33" s="118">
        <f t="shared" si="10"/>
        <v>1496</v>
      </c>
      <c r="F33" s="97">
        <f>муниц!F30+'Лен '!F28+Высокор!F27+Гост!F28+Новотр!F27+Черн!F27</f>
        <v>0</v>
      </c>
      <c r="G33" s="97">
        <f>муниц!G30+'Лен '!G28+Высокор!G27+Гост!G28+Новотр!G27+Черн!G27</f>
        <v>250.1</v>
      </c>
      <c r="H33" s="99">
        <f t="shared" si="11"/>
        <v>327.1</v>
      </c>
      <c r="I33" s="100">
        <f t="shared" si="1"/>
        <v>0.21864973262032086</v>
      </c>
      <c r="J33" s="100">
        <f t="shared" si="2"/>
        <v>0</v>
      </c>
      <c r="K33" s="97">
        <f>муниц!K30+'Лен '!K28+Высокор!K27+Гост!K28+Новотр!K27+Черн!K27</f>
        <v>338.70000000000005</v>
      </c>
      <c r="L33" s="100">
        <f t="shared" si="3"/>
        <v>0.9657514024210215</v>
      </c>
      <c r="M33" s="97">
        <f>муниц!M30+'Лен '!M28+Высокор!M27+Гост!M28+Новотр!M27+Черн!M27</f>
        <v>77</v>
      </c>
      <c r="N33" s="97">
        <f>муниц!N30+'Лен '!N28+Высокор!N27+Гост!N28+Новотр!N27+Черн!N27</f>
        <v>61.199999999999996</v>
      </c>
      <c r="O33" s="100">
        <f t="shared" si="4"/>
        <v>1.258169934640523</v>
      </c>
      <c r="P33" s="108">
        <f>'Лен '!P28</f>
        <v>61.5</v>
      </c>
      <c r="Q33" s="108"/>
      <c r="R33" s="108">
        <f>'Лен '!R28</f>
        <v>86.5</v>
      </c>
      <c r="S33" s="25"/>
    </row>
    <row r="34" spans="1:19" ht="18">
      <c r="A34" s="9" t="s">
        <v>80</v>
      </c>
      <c r="B34" s="18">
        <v>1120000000</v>
      </c>
      <c r="C34" s="102">
        <f>муниц!C31</f>
        <v>10.8</v>
      </c>
      <c r="D34" s="102">
        <f>муниц!D31</f>
        <v>0</v>
      </c>
      <c r="E34" s="104">
        <f t="shared" si="10"/>
        <v>10.8</v>
      </c>
      <c r="F34" s="102">
        <f>муниц!F31</f>
        <v>75</v>
      </c>
      <c r="G34" s="102">
        <f>муниц!G31</f>
        <v>22.2</v>
      </c>
      <c r="H34" s="95">
        <f t="shared" si="11"/>
        <v>22.2</v>
      </c>
      <c r="I34" s="96">
        <f t="shared" si="1"/>
        <v>2.0555555555555554</v>
      </c>
      <c r="J34" s="96">
        <f t="shared" si="2"/>
        <v>0.296</v>
      </c>
      <c r="K34" s="102">
        <f>муниц!K31</f>
        <v>22.1</v>
      </c>
      <c r="L34" s="96">
        <f t="shared" si="3"/>
        <v>1.004524886877828</v>
      </c>
      <c r="M34" s="102">
        <f>муниц!M31</f>
        <v>0</v>
      </c>
      <c r="N34" s="102">
        <f>муниц!N31</f>
        <v>0</v>
      </c>
      <c r="O34" s="96">
        <f t="shared" si="4"/>
        <v>0</v>
      </c>
      <c r="P34" s="95"/>
      <c r="Q34" s="105"/>
      <c r="R34" s="105"/>
      <c r="S34" s="25"/>
    </row>
    <row r="35" spans="1:19" ht="18">
      <c r="A35" s="9" t="s">
        <v>65</v>
      </c>
      <c r="B35" s="18">
        <v>1130000000</v>
      </c>
      <c r="C35" s="102">
        <f aca="true" t="shared" si="12" ref="C35:H35">SUM(C36:C38)</f>
        <v>10018</v>
      </c>
      <c r="D35" s="102">
        <f t="shared" si="12"/>
        <v>2056.297</v>
      </c>
      <c r="E35" s="103">
        <f t="shared" si="12"/>
        <v>12074.296999999999</v>
      </c>
      <c r="F35" s="102">
        <f t="shared" si="12"/>
        <v>5703.4</v>
      </c>
      <c r="G35" s="102">
        <f t="shared" si="12"/>
        <v>3454.3999999999996</v>
      </c>
      <c r="H35" s="102">
        <f t="shared" si="12"/>
        <v>4159.999999999999</v>
      </c>
      <c r="I35" s="96">
        <f t="shared" si="1"/>
        <v>0.3445335161127807</v>
      </c>
      <c r="J35" s="96">
        <f t="shared" si="2"/>
        <v>0.7293894869726828</v>
      </c>
      <c r="K35" s="102">
        <f>SUM(K36:K38)</f>
        <v>4102.299999999999</v>
      </c>
      <c r="L35" s="96">
        <f t="shared" si="3"/>
        <v>1.014065280452429</v>
      </c>
      <c r="M35" s="102">
        <f>SUM(M36:M38)</f>
        <v>705.5999999999999</v>
      </c>
      <c r="N35" s="102">
        <f>SUM(N36:N38)</f>
        <v>431.29999999999995</v>
      </c>
      <c r="O35" s="96">
        <f t="shared" si="4"/>
        <v>1.6359842337120334</v>
      </c>
      <c r="P35" s="102">
        <f>SUM(P36:P38)</f>
        <v>0</v>
      </c>
      <c r="Q35" s="102">
        <f>SUM(Q36:Q38)</f>
        <v>0</v>
      </c>
      <c r="R35" s="102">
        <f>SUM(R36:R38)</f>
        <v>0</v>
      </c>
      <c r="S35" s="25"/>
    </row>
    <row r="36" spans="1:19" ht="18">
      <c r="A36" s="15" t="s">
        <v>34</v>
      </c>
      <c r="B36" s="22">
        <v>1130199500</v>
      </c>
      <c r="C36" s="109">
        <f>муниц!C33</f>
        <v>8390</v>
      </c>
      <c r="D36" s="109">
        <f>муниц!D33</f>
        <v>75.31</v>
      </c>
      <c r="E36" s="101">
        <f t="shared" si="10"/>
        <v>8465.31</v>
      </c>
      <c r="F36" s="109">
        <f>муниц!F33</f>
        <v>5203.4</v>
      </c>
      <c r="G36" s="109">
        <f>муниц!G33</f>
        <v>2753.1</v>
      </c>
      <c r="H36" s="99">
        <f>G36+M36</f>
        <v>3185.2999999999997</v>
      </c>
      <c r="I36" s="100">
        <f>IF(E36&gt;0,H36/E36,0)</f>
        <v>0.37627682860993866</v>
      </c>
      <c r="J36" s="100">
        <f>IF(F36&gt;0,H36/F36,0)</f>
        <v>0.6121574355229273</v>
      </c>
      <c r="K36" s="109">
        <f>муниц!K33</f>
        <v>2101</v>
      </c>
      <c r="L36" s="100">
        <f t="shared" si="3"/>
        <v>1.5160875773441218</v>
      </c>
      <c r="M36" s="109">
        <f>муниц!M33</f>
        <v>432.2</v>
      </c>
      <c r="N36" s="109">
        <f>муниц!N33</f>
        <v>137.1</v>
      </c>
      <c r="O36" s="100">
        <f t="shared" si="4"/>
        <v>3.152443471918308</v>
      </c>
      <c r="P36" s="110"/>
      <c r="Q36" s="111"/>
      <c r="R36" s="111"/>
      <c r="S36" s="25"/>
    </row>
    <row r="37" spans="1:19" ht="18">
      <c r="A37" s="15" t="s">
        <v>35</v>
      </c>
      <c r="B37" s="22">
        <v>1130206500</v>
      </c>
      <c r="C37" s="109">
        <f>муниц!C34+'Лен '!C31</f>
        <v>460</v>
      </c>
      <c r="D37" s="109">
        <f>муниц!D34+'Лен '!D31</f>
        <v>0</v>
      </c>
      <c r="E37" s="118">
        <f t="shared" si="10"/>
        <v>460</v>
      </c>
      <c r="F37" s="109">
        <f>муниц!F34</f>
        <v>500</v>
      </c>
      <c r="G37" s="109">
        <f>муниц!G34+'Лен '!G31</f>
        <v>209.2</v>
      </c>
      <c r="H37" s="99">
        <f>G37+M37</f>
        <v>278.29999999999995</v>
      </c>
      <c r="I37" s="100">
        <f>IF(E37&gt;0,H37/E37,0)</f>
        <v>0.6049999999999999</v>
      </c>
      <c r="J37" s="100">
        <f>IF(F37&gt;0,H37/F37,0)</f>
        <v>0.5565999999999999</v>
      </c>
      <c r="K37" s="109">
        <f>муниц!K34+'Лен '!K31</f>
        <v>141.2</v>
      </c>
      <c r="L37" s="100">
        <f t="shared" si="3"/>
        <v>1.9709631728045325</v>
      </c>
      <c r="M37" s="109">
        <f>муниц!M34+'Лен '!M31</f>
        <v>69.1</v>
      </c>
      <c r="N37" s="109">
        <f>муниц!N34+'Лен '!N31</f>
        <v>16.2</v>
      </c>
      <c r="O37" s="100">
        <f t="shared" si="4"/>
        <v>4.265432098765432</v>
      </c>
      <c r="P37" s="110"/>
      <c r="Q37" s="111"/>
      <c r="R37" s="111"/>
      <c r="S37" s="25"/>
    </row>
    <row r="38" spans="1:19" ht="18">
      <c r="A38" s="15" t="s">
        <v>38</v>
      </c>
      <c r="B38" s="22">
        <v>1130299510</v>
      </c>
      <c r="C38" s="109">
        <f>муниц!C35+'Лен '!C32+Высокор!C28+Гост!C29+Новотр!C28+Черн!C28</f>
        <v>1168</v>
      </c>
      <c r="D38" s="153">
        <f>муниц!D35+'Лен '!D32+Высокор!D28+Гост!D29+Новотр!D28+Черн!D28</f>
        <v>1980.987</v>
      </c>
      <c r="E38" s="118">
        <f t="shared" si="10"/>
        <v>3148.987</v>
      </c>
      <c r="F38" s="109">
        <f>муниц!F35+'Лен '!F32+Высокор!F28+Гост!F29+Новотр!F28+Черн!F28</f>
        <v>0</v>
      </c>
      <c r="G38" s="109">
        <f>муниц!G35+'Лен '!G32+Высокор!G28+Гост!G29+Новотр!G28+Черн!G28</f>
        <v>492.1</v>
      </c>
      <c r="H38" s="99">
        <f>G38+M38</f>
        <v>696.4</v>
      </c>
      <c r="I38" s="100">
        <f>IF(E38&gt;0,H38/E38,0)</f>
        <v>0.22115048426684517</v>
      </c>
      <c r="J38" s="100">
        <f>IF(F38&gt;0,H38/F38,0)</f>
        <v>0</v>
      </c>
      <c r="K38" s="109">
        <f>муниц!K35+'Лен '!K32+Высокор!K28+Гост!K29+Новотр!K28+Черн!K28</f>
        <v>1860.1</v>
      </c>
      <c r="L38" s="100">
        <f t="shared" si="3"/>
        <v>0.3743884737379711</v>
      </c>
      <c r="M38" s="109">
        <f>муниц!M35+'Лен '!M32+Высокор!M28+Гост!M29+Новотр!M28+Черн!M28</f>
        <v>204.29999999999998</v>
      </c>
      <c r="N38" s="109">
        <f>муниц!N35+'Лен '!N32+Высокор!N28+Гост!N29+Новотр!N28+Черн!N28</f>
        <v>278</v>
      </c>
      <c r="O38" s="100">
        <f t="shared" si="4"/>
        <v>0.7348920863309352</v>
      </c>
      <c r="P38" s="110"/>
      <c r="Q38" s="111"/>
      <c r="R38" s="111"/>
      <c r="S38" s="25"/>
    </row>
    <row r="39" spans="1:19" ht="18">
      <c r="A39" s="9" t="s">
        <v>85</v>
      </c>
      <c r="B39" s="18">
        <v>1140000000</v>
      </c>
      <c r="C39" s="102">
        <f aca="true" t="shared" si="13" ref="C39:H39">SUM(C40:C41)</f>
        <v>22793.8</v>
      </c>
      <c r="D39" s="102">
        <f t="shared" si="13"/>
        <v>1584.4229999999998</v>
      </c>
      <c r="E39" s="102">
        <f t="shared" si="13"/>
        <v>24378.222999999998</v>
      </c>
      <c r="F39" s="102">
        <f t="shared" si="13"/>
        <v>0</v>
      </c>
      <c r="G39" s="102">
        <f t="shared" si="13"/>
        <v>378.5</v>
      </c>
      <c r="H39" s="102">
        <f t="shared" si="13"/>
        <v>378.5</v>
      </c>
      <c r="I39" s="96">
        <f t="shared" si="1"/>
        <v>0.015526152172781423</v>
      </c>
      <c r="J39" s="96">
        <f t="shared" si="2"/>
        <v>0</v>
      </c>
      <c r="K39" s="102">
        <f>SUM(K40:K41)</f>
        <v>20.2</v>
      </c>
      <c r="L39" s="96">
        <f t="shared" si="3"/>
        <v>18.737623762376238</v>
      </c>
      <c r="M39" s="102">
        <f>SUM(M40:M41)</f>
        <v>0</v>
      </c>
      <c r="N39" s="102">
        <f>SUM(N40:N41)</f>
        <v>0</v>
      </c>
      <c r="O39" s="96">
        <f t="shared" si="4"/>
        <v>0</v>
      </c>
      <c r="P39" s="105"/>
      <c r="Q39" s="105"/>
      <c r="R39" s="105"/>
      <c r="S39" s="25"/>
    </row>
    <row r="40" spans="1:19" ht="18">
      <c r="A40" s="13" t="s">
        <v>31</v>
      </c>
      <c r="B40" s="13">
        <v>1140205200</v>
      </c>
      <c r="C40" s="109">
        <f>муниц!C37+'Лен '!C34+Высокор!C29+Гост!C30+Новотр!C30+Черн!C29</f>
        <v>22643.8</v>
      </c>
      <c r="D40" s="109">
        <f>муниц!D37+'Лен '!D34+Высокор!D29+Гост!D30+Новотр!D30+Черн!D29</f>
        <v>1580.8229999999999</v>
      </c>
      <c r="E40" s="101">
        <f t="shared" si="10"/>
        <v>24224.623</v>
      </c>
      <c r="F40" s="109">
        <f>муниц!F37+'Лен '!F34+Высокор!F29+Гост!F30+Новотр!F30+Черн!F29</f>
        <v>0</v>
      </c>
      <c r="G40" s="109">
        <f>муниц!G37+'Лен '!G34+Высокор!G29+Гост!G30+Новотр!G30+Черн!G29</f>
        <v>171.3</v>
      </c>
      <c r="H40" s="99">
        <f>G40+M40</f>
        <v>171.3</v>
      </c>
      <c r="I40" s="100">
        <f t="shared" si="1"/>
        <v>0.007071317477262701</v>
      </c>
      <c r="J40" s="100">
        <f t="shared" si="2"/>
        <v>0</v>
      </c>
      <c r="K40" s="109">
        <f>муниц!K37+'Лен '!K34+Высокор!K29+Гост!K30+Новотр!K30+Черн!K29</f>
        <v>10.7</v>
      </c>
      <c r="L40" s="100">
        <f t="shared" si="3"/>
        <v>16.009345794392527</v>
      </c>
      <c r="M40" s="109">
        <f>муниц!M37+'Лен '!M34+Высокор!M29+Гост!M30+Новотр!M30+Черн!M29</f>
        <v>0</v>
      </c>
      <c r="N40" s="109">
        <f>муниц!N37+'Лен '!N34+Высокор!N29+Гост!N30+Новотр!N30+Черн!N29</f>
        <v>0</v>
      </c>
      <c r="O40" s="100">
        <f t="shared" si="4"/>
        <v>0</v>
      </c>
      <c r="P40" s="111"/>
      <c r="Q40" s="111"/>
      <c r="R40" s="111"/>
      <c r="S40" s="25"/>
    </row>
    <row r="41" spans="1:19" ht="18">
      <c r="A41" s="13" t="s">
        <v>32</v>
      </c>
      <c r="B41" s="13">
        <v>1140600000</v>
      </c>
      <c r="C41" s="109">
        <f>муниц!C38+'Лен '!C35+Высокор!C30+Гост!C31+Новотр!C29+Черн!C30+'Лен '!C36</f>
        <v>150</v>
      </c>
      <c r="D41" s="109">
        <f>муниц!D38+'Лен '!D35+Высокор!D30+Гост!D31+Новотр!D29+Черн!D30+'Лен '!D36</f>
        <v>3.5999999999999943</v>
      </c>
      <c r="E41" s="101">
        <f t="shared" si="10"/>
        <v>153.6</v>
      </c>
      <c r="F41" s="109">
        <f>муниц!F38+'Лен '!F35+Высокор!F30+Гост!F31+Новотр!F29+Черн!F30</f>
        <v>0</v>
      </c>
      <c r="G41" s="109">
        <f>муниц!G38+'Лен '!G35+Высокор!G30+Гост!G31+Новотр!G29+Черн!G30+'Лен '!G36</f>
        <v>207.2</v>
      </c>
      <c r="H41" s="99">
        <f>G41+M41</f>
        <v>207.2</v>
      </c>
      <c r="I41" s="100">
        <f t="shared" si="1"/>
        <v>1.3489583333333333</v>
      </c>
      <c r="J41" s="100">
        <f t="shared" si="2"/>
        <v>0</v>
      </c>
      <c r="K41" s="109">
        <f>муниц!K38+'Лен '!K35+Высокор!K30+Гост!K31+Новотр!K29+Черн!K30+'Лен '!K36</f>
        <v>9.5</v>
      </c>
      <c r="L41" s="100">
        <f t="shared" si="3"/>
        <v>21.810526315789474</v>
      </c>
      <c r="M41" s="109">
        <f>муниц!M38+'Лен '!M35+Высокор!M30+Гост!M31+Новотр!M29+Черн!M30+'Лен '!M36</f>
        <v>0</v>
      </c>
      <c r="N41" s="109">
        <f>муниц!N38+'Лен '!N35+Высокор!N30+Гост!N31+Новотр!N29+Черн!N30+'Лен '!N36</f>
        <v>0</v>
      </c>
      <c r="O41" s="100">
        <f t="shared" si="4"/>
        <v>0</v>
      </c>
      <c r="P41" s="111"/>
      <c r="Q41" s="111"/>
      <c r="R41" s="111"/>
      <c r="S41" s="25"/>
    </row>
    <row r="42" spans="1:19" ht="18">
      <c r="A42" s="9" t="s">
        <v>86</v>
      </c>
      <c r="B42" s="18">
        <v>1160000000</v>
      </c>
      <c r="C42" s="102">
        <f>муниц!C39+'Лен '!C37+Высокор!C31+Гост!C32+Новотр!C31+Черн!C31</f>
        <v>6</v>
      </c>
      <c r="D42" s="102">
        <f>муниц!D39+'Лен '!D37+Высокор!D31+Гост!D32+Новотр!D31+Черн!D31</f>
        <v>158.2</v>
      </c>
      <c r="E42" s="104">
        <f t="shared" si="10"/>
        <v>164.2</v>
      </c>
      <c r="F42" s="102">
        <f>муниц!F39+'Лен '!F37+Высокор!F31+Гост!F32+Новотр!F31+Черн!F31</f>
        <v>83</v>
      </c>
      <c r="G42" s="102">
        <f>муниц!G39+'Лен '!G37+Высокор!G31+Гост!G32+Новотр!G31+Черн!G31</f>
        <v>532.9000000000001</v>
      </c>
      <c r="H42" s="95">
        <f>G42+M42</f>
        <v>863.0000000000001</v>
      </c>
      <c r="I42" s="96">
        <f t="shared" si="1"/>
        <v>5.255785627283801</v>
      </c>
      <c r="J42" s="96">
        <f t="shared" si="2"/>
        <v>10.397590361445785</v>
      </c>
      <c r="K42" s="102">
        <f>муниц!K39+'Лен '!K37+Высокор!K31+Гост!K32+Новотр!K31+Черн!K31</f>
        <v>289.29999999999995</v>
      </c>
      <c r="L42" s="96">
        <f t="shared" si="3"/>
        <v>2.983062564811615</v>
      </c>
      <c r="M42" s="102">
        <f>муниц!M39+'Лен '!M37+Высокор!M31+Гост!M32+Новотр!M31+Черн!M31</f>
        <v>330.1</v>
      </c>
      <c r="N42" s="102">
        <f>муниц!N39+'Лен '!N37+Высокор!N31+Гост!N32+Новотр!N31+Черн!N31</f>
        <v>17.1</v>
      </c>
      <c r="O42" s="96">
        <f t="shared" si="4"/>
        <v>19.30409356725146</v>
      </c>
      <c r="P42" s="105"/>
      <c r="Q42" s="105"/>
      <c r="R42" s="105"/>
      <c r="S42" s="25"/>
    </row>
    <row r="43" spans="1:19" ht="18">
      <c r="A43" s="9" t="s">
        <v>87</v>
      </c>
      <c r="B43" s="18">
        <v>1170000000</v>
      </c>
      <c r="C43" s="102">
        <f>SUM(C44:C46)</f>
        <v>0</v>
      </c>
      <c r="D43" s="102">
        <f>SUM(D44:D46)</f>
        <v>383.1</v>
      </c>
      <c r="E43" s="104">
        <f t="shared" si="10"/>
        <v>383.1</v>
      </c>
      <c r="F43" s="102">
        <f>SUM(F44:F45)</f>
        <v>0</v>
      </c>
      <c r="G43" s="102">
        <f>SUM(G44:G46)</f>
        <v>480.6</v>
      </c>
      <c r="H43" s="95">
        <f>SUM(H44:H46)</f>
        <v>481.3</v>
      </c>
      <c r="I43" s="96">
        <f t="shared" si="1"/>
        <v>1.256329939963456</v>
      </c>
      <c r="J43" s="96">
        <f t="shared" si="2"/>
        <v>0</v>
      </c>
      <c r="K43" s="102">
        <f>SUM(K44:K45)</f>
        <v>1.3</v>
      </c>
      <c r="L43" s="96">
        <f t="shared" si="3"/>
        <v>370.2307692307692</v>
      </c>
      <c r="M43" s="102">
        <f>SUM(M44:M46)</f>
        <v>0.7</v>
      </c>
      <c r="N43" s="102">
        <f>SUM(N44:N45)</f>
        <v>-4.3</v>
      </c>
      <c r="O43" s="96">
        <f t="shared" si="4"/>
        <v>0</v>
      </c>
      <c r="P43" s="102">
        <f>SUM(P44:P45)</f>
        <v>0</v>
      </c>
      <c r="Q43" s="102">
        <f>SUM(Q44:Q45)</f>
        <v>0</v>
      </c>
      <c r="R43" s="102">
        <f>SUM(R44:R45)</f>
        <v>0</v>
      </c>
      <c r="S43" s="25"/>
    </row>
    <row r="44" spans="1:19" ht="18">
      <c r="A44" s="13" t="s">
        <v>8</v>
      </c>
      <c r="B44" s="13">
        <v>1170105005</v>
      </c>
      <c r="C44" s="97"/>
      <c r="D44" s="97"/>
      <c r="E44" s="101">
        <f>C44+D44</f>
        <v>0</v>
      </c>
      <c r="F44" s="97"/>
      <c r="G44" s="97">
        <f>муниц!G41+'Лен '!G39+Высокор!G33+Гост!G34+Новотр!G33+Черн!G33</f>
        <v>0.1</v>
      </c>
      <c r="H44" s="99">
        <f>G44+M44</f>
        <v>0.1</v>
      </c>
      <c r="I44" s="100">
        <f t="shared" si="1"/>
        <v>0</v>
      </c>
      <c r="J44" s="100">
        <f t="shared" si="2"/>
        <v>0</v>
      </c>
      <c r="K44" s="97">
        <f>муниц!K41+'Лен '!K39+Высокор!K33+Гост!K34+Новотр!K33+Черн!K33</f>
        <v>0.4</v>
      </c>
      <c r="L44" s="100">
        <f t="shared" si="3"/>
        <v>0.25</v>
      </c>
      <c r="M44" s="97">
        <f>муниц!M41+'Лен '!M39+Высокор!M33+Гост!M34+Новотр!M33+Черн!M33</f>
        <v>0</v>
      </c>
      <c r="N44" s="97">
        <f>муниц!N41+'Лен '!N39+Высокор!N33+Гост!N34+Новотр!N33+Черн!N33</f>
        <v>-4.6</v>
      </c>
      <c r="O44" s="100">
        <f t="shared" si="4"/>
        <v>0</v>
      </c>
      <c r="P44" s="100"/>
      <c r="Q44" s="108"/>
      <c r="R44" s="108"/>
      <c r="S44" s="25"/>
    </row>
    <row r="45" spans="1:19" ht="18">
      <c r="A45" s="13" t="s">
        <v>14</v>
      </c>
      <c r="B45" s="13">
        <v>1170505005</v>
      </c>
      <c r="C45" s="97">
        <f>муниц!C42+'Лен '!C40+Высокор!C34+Гост!C35+Новотр!C34+Черн!C34</f>
        <v>0</v>
      </c>
      <c r="D45" s="97">
        <f>муниц!D42+'Лен '!D40+Высокор!D34+Гост!D35+Новотр!D34+Черн!D34</f>
        <v>0</v>
      </c>
      <c r="E45" s="101">
        <f>C45+D45</f>
        <v>0</v>
      </c>
      <c r="F45" s="97">
        <f>муниц!F42+'Лен '!F40+Высокор!F34+Гост!F35+Новотр!F34+Черн!F34</f>
        <v>0</v>
      </c>
      <c r="G45" s="97">
        <f>муниц!G42+'Лен '!G40+Высокор!G34+Гост!G35+Новотр!G34+Черн!G34</f>
        <v>0.4</v>
      </c>
      <c r="H45" s="99">
        <f>G45+M45</f>
        <v>0.4</v>
      </c>
      <c r="I45" s="100">
        <f t="shared" si="1"/>
        <v>0</v>
      </c>
      <c r="J45" s="100">
        <f t="shared" si="2"/>
        <v>0</v>
      </c>
      <c r="K45" s="97">
        <f>муниц!K42+'Лен '!K40+Высокор!K34+Гост!K35+Новотр!K34+Черн!K34</f>
        <v>0.9</v>
      </c>
      <c r="L45" s="100">
        <f t="shared" si="3"/>
        <v>0.4444444444444445</v>
      </c>
      <c r="M45" s="97">
        <f>муниц!M42+'Лен '!M40+Высокор!M34+Гост!M35+Новотр!M34+Черн!M34</f>
        <v>0</v>
      </c>
      <c r="N45" s="97">
        <f>муниц!N42+'Лен '!N40+Высокор!N34+Гост!N35+Новотр!N34+Черн!N34</f>
        <v>0.30000000000000004</v>
      </c>
      <c r="O45" s="100">
        <f t="shared" si="4"/>
        <v>0</v>
      </c>
      <c r="P45" s="97"/>
      <c r="Q45" s="97"/>
      <c r="R45" s="97"/>
      <c r="S45" s="25"/>
    </row>
    <row r="46" spans="1:19" ht="18.75">
      <c r="A46" s="178" t="s">
        <v>118</v>
      </c>
      <c r="B46" s="13">
        <v>1171503005</v>
      </c>
      <c r="C46" s="97"/>
      <c r="D46" s="97">
        <f>муниц!D43</f>
        <v>383.1</v>
      </c>
      <c r="E46" s="101">
        <f>C46+D46</f>
        <v>383.1</v>
      </c>
      <c r="F46" s="97"/>
      <c r="G46" s="97">
        <f>муниц!G43</f>
        <v>480.1</v>
      </c>
      <c r="H46" s="99">
        <f>G46+M46</f>
        <v>480.8</v>
      </c>
      <c r="I46" s="100">
        <f t="shared" si="1"/>
        <v>1.2550247977029496</v>
      </c>
      <c r="J46" s="100"/>
      <c r="K46" s="97"/>
      <c r="L46" s="100">
        <f t="shared" si="3"/>
        <v>0</v>
      </c>
      <c r="M46" s="97">
        <f>муниц!M43</f>
        <v>0.7</v>
      </c>
      <c r="N46" s="97"/>
      <c r="O46" s="100">
        <f t="shared" si="4"/>
        <v>0</v>
      </c>
      <c r="P46" s="97"/>
      <c r="Q46" s="97"/>
      <c r="R46" s="97"/>
      <c r="S46" s="25"/>
    </row>
    <row r="47" spans="1:19" ht="18">
      <c r="A47" s="16" t="s">
        <v>6</v>
      </c>
      <c r="B47" s="23">
        <v>1000000000</v>
      </c>
      <c r="C47" s="112">
        <f aca="true" t="shared" si="14" ref="C47:H47">C5+C27</f>
        <v>105616.027</v>
      </c>
      <c r="D47" s="112">
        <f t="shared" si="14"/>
        <v>6515.937</v>
      </c>
      <c r="E47" s="177">
        <f t="shared" si="14"/>
        <v>112131.96399999998</v>
      </c>
      <c r="F47" s="114" t="e">
        <f t="shared" si="14"/>
        <v>#REF!</v>
      </c>
      <c r="G47" s="115">
        <f t="shared" si="14"/>
        <v>42784.5</v>
      </c>
      <c r="H47" s="115">
        <f t="shared" si="14"/>
        <v>48569.600000000006</v>
      </c>
      <c r="I47" s="116">
        <f t="shared" si="1"/>
        <v>0.43314678765458897</v>
      </c>
      <c r="J47" s="116" t="e">
        <f t="shared" si="2"/>
        <v>#REF!</v>
      </c>
      <c r="K47" s="113">
        <f>K5+K27</f>
        <v>39665.2</v>
      </c>
      <c r="L47" s="116">
        <f t="shared" si="3"/>
        <v>1.2244889727015118</v>
      </c>
      <c r="M47" s="115">
        <f>M5+M27</f>
        <v>5785.100000000001</v>
      </c>
      <c r="N47" s="115">
        <f>N5+N27</f>
        <v>5265.2</v>
      </c>
      <c r="O47" s="116">
        <f t="shared" si="4"/>
        <v>1.0987426878371194</v>
      </c>
      <c r="P47" s="113">
        <f>P5+P27</f>
        <v>1906.2000000000003</v>
      </c>
      <c r="Q47" s="113">
        <f>Q5+Q27</f>
        <v>2486.1</v>
      </c>
      <c r="R47" s="113">
        <f>R5+R27</f>
        <v>2157.1</v>
      </c>
      <c r="S47" s="25"/>
    </row>
    <row r="48" spans="1:19" ht="18">
      <c r="A48" s="13" t="s">
        <v>36</v>
      </c>
      <c r="B48" s="21">
        <v>2000000000</v>
      </c>
      <c r="C48" s="117">
        <f>муниц!C46+498.3</f>
        <v>197802.732</v>
      </c>
      <c r="D48" s="117">
        <f>муниц!D46+3459.5</f>
        <v>12564.2</v>
      </c>
      <c r="E48" s="118">
        <f>C48+D48</f>
        <v>210366.932</v>
      </c>
      <c r="F48" s="99">
        <f>муниц!F46</f>
        <v>74695.19</v>
      </c>
      <c r="G48" s="99">
        <f>муниц!G46+123.1</f>
        <v>84156.8</v>
      </c>
      <c r="H48" s="99">
        <f>G48+M48</f>
        <v>107330.70000000001</v>
      </c>
      <c r="I48" s="100">
        <f t="shared" si="1"/>
        <v>0.5102070890114992</v>
      </c>
      <c r="J48" s="100">
        <f t="shared" si="2"/>
        <v>1.4369158174709777</v>
      </c>
      <c r="K48" s="99">
        <v>109138.3</v>
      </c>
      <c r="L48" s="100">
        <f t="shared" si="3"/>
        <v>0.9834375283470607</v>
      </c>
      <c r="M48" s="99">
        <f>муниц!M46+141.4</f>
        <v>23173.9</v>
      </c>
      <c r="N48" s="99">
        <v>26895.9</v>
      </c>
      <c r="O48" s="100">
        <f t="shared" si="4"/>
        <v>0.8616145955331482</v>
      </c>
      <c r="P48" s="108"/>
      <c r="Q48" s="108"/>
      <c r="R48" s="108"/>
      <c r="S48" s="25"/>
    </row>
    <row r="49" spans="1:19" ht="18">
      <c r="A49" s="8" t="s">
        <v>45</v>
      </c>
      <c r="B49" s="21">
        <v>2070000000</v>
      </c>
      <c r="C49" s="97">
        <f>муниц!C47+'Лен '!C44+Высокор!C38+Гост!C39+Новотр!C38+Черн!C38</f>
        <v>0</v>
      </c>
      <c r="D49" s="182">
        <f>муниц!D47+муниц!D48+'Лен '!D44+Высокор!D38+Гост!D39+Новотр!D38+Черн!D38</f>
        <v>1010.0999999999999</v>
      </c>
      <c r="E49" s="101">
        <f>C49+D49</f>
        <v>1010.0999999999999</v>
      </c>
      <c r="F49" s="97">
        <f>муниц!F47+'Лен '!F44+Высокор!F38+Гост!F39+Новотр!F38+Черн!F38</f>
        <v>0</v>
      </c>
      <c r="G49" s="97">
        <f>муниц!G47+муниц!G48+'Лен '!G44+Высокор!G38+Гост!G39+Новотр!G38+Черн!G38</f>
        <v>231.8</v>
      </c>
      <c r="H49" s="99">
        <f>G49+M49</f>
        <v>1032.3</v>
      </c>
      <c r="I49" s="100">
        <f>IF(E49&gt;0,H49/E49,0)</f>
        <v>1.0219780219780221</v>
      </c>
      <c r="J49" s="100">
        <f>IF(F49&gt;0,H49/F49,0)</f>
        <v>0</v>
      </c>
      <c r="K49" s="97">
        <v>578.2</v>
      </c>
      <c r="L49" s="100">
        <f t="shared" si="3"/>
        <v>1.785368384641992</v>
      </c>
      <c r="M49" s="97">
        <f>муниц!M47+муниц!M48+'Лен '!M44+Высокор!M38+Гост!M39+Новотр!M38+Черн!M38</f>
        <v>800.5</v>
      </c>
      <c r="N49" s="97"/>
      <c r="O49" s="100">
        <f t="shared" si="4"/>
        <v>0</v>
      </c>
      <c r="P49" s="108"/>
      <c r="Q49" s="108"/>
      <c r="R49" s="108"/>
      <c r="S49" s="25"/>
    </row>
    <row r="50" spans="1:19" ht="20.25" customHeight="1">
      <c r="A50" s="8" t="s">
        <v>92</v>
      </c>
      <c r="B50" s="125" t="s">
        <v>93</v>
      </c>
      <c r="C50" s="97"/>
      <c r="D50" s="97">
        <f>муниц!D49</f>
        <v>0</v>
      </c>
      <c r="E50" s="101">
        <f>C50+D50</f>
        <v>0</v>
      </c>
      <c r="F50" s="97"/>
      <c r="G50" s="97"/>
      <c r="H50" s="99">
        <f>G50+M50</f>
        <v>-2.7</v>
      </c>
      <c r="I50" s="100"/>
      <c r="J50" s="100"/>
      <c r="K50" s="97">
        <f>муниц!K49</f>
        <v>-120.6</v>
      </c>
      <c r="L50" s="100">
        <f t="shared" si="3"/>
        <v>0</v>
      </c>
      <c r="M50" s="97">
        <f>муниц!M49</f>
        <v>-2.7</v>
      </c>
      <c r="N50" s="97">
        <f>муниц!N49</f>
        <v>0</v>
      </c>
      <c r="O50" s="100">
        <f t="shared" si="4"/>
        <v>0</v>
      </c>
      <c r="P50" s="108"/>
      <c r="Q50" s="108"/>
      <c r="R50" s="108"/>
      <c r="S50" s="25"/>
    </row>
    <row r="51" spans="1:19" ht="18">
      <c r="A51" s="16" t="s">
        <v>2</v>
      </c>
      <c r="B51" s="24"/>
      <c r="C51" s="115">
        <f>C47+C48+C49+C50</f>
        <v>303418.75899999996</v>
      </c>
      <c r="D51" s="115">
        <f>D47+D48+D49+D50</f>
        <v>20090.237</v>
      </c>
      <c r="E51" s="112">
        <f>E47+E48+E49+E50</f>
        <v>323508.9959999999</v>
      </c>
      <c r="F51" s="113" t="e">
        <f>F47+F48+F49</f>
        <v>#REF!</v>
      </c>
      <c r="G51" s="115">
        <f>G47+G48+G49+G50</f>
        <v>127173.1</v>
      </c>
      <c r="H51" s="115">
        <f>H47+H48+H49+H50</f>
        <v>156929.9</v>
      </c>
      <c r="I51" s="116">
        <f t="shared" si="1"/>
        <v>0.4850866651015789</v>
      </c>
      <c r="J51" s="116" t="e">
        <f t="shared" si="2"/>
        <v>#REF!</v>
      </c>
      <c r="K51" s="115">
        <f>K47+K48+K49+K50</f>
        <v>149261.1</v>
      </c>
      <c r="L51" s="116">
        <f t="shared" si="3"/>
        <v>1.0513784234472343</v>
      </c>
      <c r="M51" s="115">
        <f>M47+M48+M49+M50</f>
        <v>29756.800000000003</v>
      </c>
      <c r="N51" s="115">
        <f>N47+N48+N49+N50</f>
        <v>32161.100000000002</v>
      </c>
      <c r="O51" s="116">
        <f t="shared" si="4"/>
        <v>0.9252419848823579</v>
      </c>
      <c r="P51" s="113">
        <f>P47+P48</f>
        <v>1906.2000000000003</v>
      </c>
      <c r="Q51" s="113">
        <f>Q47+Q48</f>
        <v>2486.1</v>
      </c>
      <c r="R51" s="113">
        <f>R47+R48</f>
        <v>2157.1</v>
      </c>
      <c r="S51" s="25"/>
    </row>
    <row r="52" spans="2:19" ht="15">
      <c r="B52" s="25"/>
      <c r="C52" s="25"/>
      <c r="D52" s="25"/>
      <c r="E52" s="25"/>
      <c r="F52" s="25"/>
      <c r="G52" s="25"/>
      <c r="H52" s="26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8" ht="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ht="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ht="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ht="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ht="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ht="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ht="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ht="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ht="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ht="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ht="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ht="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ht="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ht="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ht="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ht="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ht="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ht="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ht="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ht="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ht="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ht="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ht="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ht="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ht="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ht="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</sheetData>
  <sheetProtection/>
  <mergeCells count="15"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2021-07-15T05:34:35Z</cp:lastPrinted>
  <dcterms:created xsi:type="dcterms:W3CDTF">2003-11-05T12:49:21Z</dcterms:created>
  <dcterms:modified xsi:type="dcterms:W3CDTF">2021-07-15T05:35:21Z</dcterms:modified>
  <cp:category/>
  <cp:version/>
  <cp:contentType/>
  <cp:contentStatus/>
</cp:coreProperties>
</file>