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1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'муниц'!$A$1:$R$50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<sst xmlns="http://schemas.openxmlformats.org/spreadsheetml/2006/main" count="450" uniqueCount="131">
  <si>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</si>
  <si>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</si>
  <si>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</si>
  <si>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</si>
  <si>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</si>
  <si>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</si>
  <si>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</si>
  <si>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</si>
  <si>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</si>
  <si>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</si>
  <si>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</si>
  <si>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</si>
  <si>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</si>
  <si>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</si>
  <si>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</si>
  <si>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</si>
  <si>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</si>
  <si>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</si>
  <si>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</si>
  <si>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</si>
  <si>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</si>
  <si>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</si>
  <si>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</si>
  <si>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</si>
  <si>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</si>
  <si>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</si>
  <si>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</si>
  <si>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</si>
  <si>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</si>
  <si>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</si>
  <si>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</si>
  <si>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</si>
  <si>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</si>
  <si>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</si>
  <si>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</si>
  <si>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</si>
  <si>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</si>
  <si>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</si>
  <si>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</si>
  <si>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</si>
  <si>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</si>
  <si>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</si>
  <si>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</si>
  <si>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</si>
  <si>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</si>
  <si>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</si>
  <si>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</si>
  <si>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</si>
  <si>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</si>
  <si>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</si>
  <si>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</si>
  <si>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</si>
  <si>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</si>
  <si>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</si>
  <si>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</si>
  <si>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</si>
  <si>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</si>
  <si>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</si>
  <si>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</si>
  <si>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</si>
  <si>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</si>
  <si>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</si>
  <si>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</si>
  <si>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</si>
  <si>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</si>
  <si>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</si>
  <si>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</si>
  <si>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</si>
  <si>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</si>
  <si>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</si>
  <si>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</si>
  <si>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</si>
  <si>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</si>
  <si>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</si>
  <si>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</si>
  <si>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</si>
  <si>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</si>
  <si>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</si>
  <si>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</si>
  <si>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</si>
  <si>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</si>
  <si>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</si>
  <si>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</si>
  <si>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</si>
  <si>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</si>
  <si>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</si>
  <si>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</si>
  <si>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</si>
  <si>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</si>
  <si>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</si>
  <si>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</si>
  <si>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</si>
  <si>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</si>
  <si>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</si>
  <si>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</si>
  <si>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</si>
  <si>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</si>
  <si>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</si>
  <si>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</si>
  <si>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</si>
  <si>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</si>
  <si>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</si>
  <si>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</si>
  <si>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</si>
  <si>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</si>
  <si>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</si>
  <si>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</si>
  <si>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</si>
  <si>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2017 год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</si>
  <si>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</si>
  <si>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</si>
  <si>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</si>
  <si>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</si>
  <si>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</si>
  <si>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Первоначальный план на 2018 год</t>
  </si>
  <si>
    <t>Уточненный план на 2018 год</t>
  </si>
  <si>
    <t>2018 год</t>
  </si>
  <si>
    <t>на 01.01.2018года</t>
  </si>
  <si>
    <t>Фактическое исполнение за январь -май</t>
  </si>
  <si>
    <t>на 01.06.2018</t>
  </si>
  <si>
    <t>Фактическое исполнение за январь -июнь</t>
  </si>
  <si>
    <t>Поступило за июнь  2018 года</t>
  </si>
  <si>
    <t>Поступило за  июнь    2017 года</t>
  </si>
  <si>
    <t>Сведения об исполнении бюджета муниципального района по состоянию на 01 июля  2018 года</t>
  </si>
  <si>
    <t>на 01.07.2018</t>
  </si>
  <si>
    <t xml:space="preserve">об исполнении бюджета Ленинского городского поселения на 01  июля  2018 г. </t>
  </si>
  <si>
    <t>об исполнении бюджета Высокораменского сельского поселения на 01  июля  2018 г.</t>
  </si>
  <si>
    <t>об исполнении бюджета Гостовского сельского поселения на 01  июля 2018г.</t>
  </si>
  <si>
    <t>об исполнении бюджета Новотроицкого сельского поселения на 01   июля 2018 г.</t>
  </si>
  <si>
    <t>об исполнении бюджета Черновского сельского поселения на 01 июля  2018 г.</t>
  </si>
  <si>
    <t xml:space="preserve">об исполнении бюджета муниципального  образования на 01  июля  2018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</si>
</sst>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5" fillId="0" borderId="15" xfId="0" applyNumberFormat="1" applyFont="1" applyFill="1" applyBorder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12" borderId="16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5" xfId="55" applyNumberFormat="1" applyFont="1" applyFill="1" applyBorder="1" applyAlignment="1">
      <alignment/>
    </xf>
    <xf numFmtId="172" fontId="13" fillId="0" borderId="15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SheetLayoutView="50" zoomScalePageLayoutView="0" workbookViewId="0" topLeftCell="A1">
      <pane xSplit="2" ySplit="4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37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</cols>
  <sheetData>
    <row r="1" spans="1:13" ht="24.75" customHeight="1">
      <c r="A1" s="164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8" ht="20.25" customHeight="1">
      <c r="A2" s="165" t="s">
        <v>28</v>
      </c>
      <c r="B2" s="165" t="s">
        <v>4</v>
      </c>
      <c r="C2" s="165" t="s">
        <v>114</v>
      </c>
      <c r="D2" s="165" t="s">
        <v>24</v>
      </c>
      <c r="E2" s="165" t="s">
        <v>115</v>
      </c>
      <c r="F2" s="165" t="s">
        <v>101</v>
      </c>
      <c r="G2" s="165" t="s">
        <v>118</v>
      </c>
      <c r="H2" s="165" t="s">
        <v>116</v>
      </c>
      <c r="I2" s="165"/>
      <c r="J2" s="165"/>
      <c r="K2" s="165" t="s">
        <v>108</v>
      </c>
      <c r="L2" s="165"/>
      <c r="M2" s="165" t="s">
        <v>121</v>
      </c>
      <c r="N2" s="165" t="s">
        <v>122</v>
      </c>
      <c r="O2" s="165" t="s">
        <v>30</v>
      </c>
      <c r="P2" s="165" t="s">
        <v>9</v>
      </c>
      <c r="Q2" s="165"/>
      <c r="R2" s="165"/>
    </row>
    <row r="3" spans="1:18" ht="97.5" customHeight="1">
      <c r="A3" s="165"/>
      <c r="B3" s="165"/>
      <c r="C3" s="165"/>
      <c r="D3" s="165"/>
      <c r="E3" s="165"/>
      <c r="F3" s="165"/>
      <c r="G3" s="165"/>
      <c r="H3" s="47" t="s">
        <v>120</v>
      </c>
      <c r="I3" s="47" t="s">
        <v>10</v>
      </c>
      <c r="J3" s="47" t="s">
        <v>29</v>
      </c>
      <c r="K3" s="47" t="s">
        <v>120</v>
      </c>
      <c r="L3" s="47" t="s">
        <v>30</v>
      </c>
      <c r="M3" s="165"/>
      <c r="N3" s="165"/>
      <c r="O3" s="165"/>
      <c r="P3" s="124" t="s">
        <v>117</v>
      </c>
      <c r="Q3" s="124" t="s">
        <v>119</v>
      </c>
      <c r="R3" s="124" t="s">
        <v>124</v>
      </c>
    </row>
    <row r="4" spans="1:18" ht="18.75">
      <c r="A4" s="35" t="s">
        <v>21</v>
      </c>
      <c r="B4" s="36"/>
      <c r="C4" s="56">
        <f aca="true" t="shared" si="0" ref="C4:H4">C5+C10+C15+C21+C22+C23</f>
        <v>53265.6</v>
      </c>
      <c r="D4" s="56">
        <f t="shared" si="0"/>
        <v>309.8</v>
      </c>
      <c r="E4" s="56">
        <f t="shared" si="0"/>
        <v>53575.4</v>
      </c>
      <c r="F4" s="56">
        <f t="shared" si="0"/>
        <v>28289.9</v>
      </c>
      <c r="G4" s="56">
        <f t="shared" si="0"/>
        <v>25804.7</v>
      </c>
      <c r="H4" s="56">
        <f t="shared" si="0"/>
        <v>29250.7</v>
      </c>
      <c r="I4" s="57">
        <f>IF(E4&gt;0,H4/E4,0)</f>
        <v>0.5459725918985205</v>
      </c>
      <c r="J4" s="57">
        <f>IF(F4&gt;0,H4/F4,0)</f>
        <v>1.0339626509814457</v>
      </c>
      <c r="K4" s="56">
        <f>K5+K10+K15+K21+K22+K23</f>
        <v>27738.6</v>
      </c>
      <c r="L4" s="57">
        <f aca="true" t="shared" si="1" ref="L4:L49">IF(K4&gt;0,H4/K4,0)</f>
        <v>1.0545124844080092</v>
      </c>
      <c r="M4" s="56">
        <f>M5+M10+M15+M21+M22+M23</f>
        <v>3446</v>
      </c>
      <c r="N4" s="56">
        <f>N5+N10+N15+N21+N22+N23</f>
        <v>4286.7</v>
      </c>
      <c r="O4" s="57">
        <f aca="true" t="shared" si="2" ref="O4:O49">IF(N4&gt;0,M4/N4,0)</f>
        <v>0.8038817738586792</v>
      </c>
      <c r="P4" s="56">
        <f>P5+P10+P15+P21+P22+P23</f>
        <v>351.9</v>
      </c>
      <c r="Q4" s="56">
        <f>Q5+Q10+Q15+Q21+Q22+Q23</f>
        <v>810.4000000000001</v>
      </c>
      <c r="R4" s="56">
        <f>R5+R10+R15+R21+R22+R23</f>
        <v>986.9000000000001</v>
      </c>
    </row>
    <row r="5" spans="1:18" ht="18.75">
      <c r="A5" s="37" t="s">
        <v>65</v>
      </c>
      <c r="B5" s="38">
        <v>1010200001</v>
      </c>
      <c r="C5" s="58">
        <f aca="true" t="shared" si="3" ref="C5:H5">SUM(C6:C9)</f>
        <v>13137</v>
      </c>
      <c r="D5" s="58">
        <f t="shared" si="3"/>
        <v>0</v>
      </c>
      <c r="E5" s="58">
        <f t="shared" si="3"/>
        <v>13137</v>
      </c>
      <c r="F5" s="58">
        <f t="shared" si="3"/>
        <v>9900.000000000002</v>
      </c>
      <c r="G5" s="58">
        <f t="shared" si="3"/>
        <v>5513.799999999999</v>
      </c>
      <c r="H5" s="58">
        <f t="shared" si="3"/>
        <v>6639.099999999999</v>
      </c>
      <c r="I5" s="59">
        <f>IF(E5&gt;0,H5/E5,0)</f>
        <v>0.5053741341249904</v>
      </c>
      <c r="J5" s="59">
        <f>IF(F5&gt;0,H5/F5,0)</f>
        <v>0.6706161616161614</v>
      </c>
      <c r="K5" s="58">
        <f>SUM(K6:K9)</f>
        <v>6063.2</v>
      </c>
      <c r="L5" s="59">
        <f t="shared" si="1"/>
        <v>1.0949828473413379</v>
      </c>
      <c r="M5" s="58">
        <f>SUM(M6:M9)</f>
        <v>1125.3</v>
      </c>
      <c r="N5" s="58">
        <f>SUM(N6:N9)</f>
        <v>1106.8</v>
      </c>
      <c r="O5" s="59">
        <f t="shared" si="2"/>
        <v>1.0167148536320925</v>
      </c>
      <c r="P5" s="58">
        <f>SUM(P6:P9)</f>
        <v>73.5</v>
      </c>
      <c r="Q5" s="58">
        <f>SUM(Q6:Q9)</f>
        <v>37.199999999999996</v>
      </c>
      <c r="R5" s="58">
        <f>SUM(R6:R9)</f>
        <v>53</v>
      </c>
    </row>
    <row r="6" spans="1:18" ht="18.75" customHeight="1">
      <c r="A6" s="40" t="s">
        <v>41</v>
      </c>
      <c r="B6" s="8">
        <v>1010201001</v>
      </c>
      <c r="C6" s="60">
        <v>13083.4</v>
      </c>
      <c r="D6" s="61"/>
      <c r="E6" s="61">
        <f>C6+D6</f>
        <v>13083.4</v>
      </c>
      <c r="F6" s="61">
        <f>2700+346+3300+3328.7+150</f>
        <v>9824.7</v>
      </c>
      <c r="G6" s="61">
        <v>5490.4</v>
      </c>
      <c r="H6" s="61">
        <f>G6+M6</f>
        <v>6606.9</v>
      </c>
      <c r="I6" s="62">
        <f aca="true" t="shared" si="4" ref="I6:I49">IF(E6&gt;0,H6/E6,0)</f>
        <v>0.504983414097253</v>
      </c>
      <c r="J6" s="62">
        <f aca="true" t="shared" si="5" ref="J6:J49">IF(F6&gt;0,H6/F6,0)</f>
        <v>0.672478548963327</v>
      </c>
      <c r="K6" s="61">
        <v>5981</v>
      </c>
      <c r="L6" s="62">
        <f t="shared" si="1"/>
        <v>1.1046480521651898</v>
      </c>
      <c r="M6" s="61">
        <v>1116.5</v>
      </c>
      <c r="N6" s="61">
        <v>1053.1</v>
      </c>
      <c r="O6" s="62">
        <f t="shared" si="2"/>
        <v>1.0602032095717406</v>
      </c>
      <c r="P6" s="61">
        <v>66.8</v>
      </c>
      <c r="Q6" s="61">
        <v>34.3</v>
      </c>
      <c r="R6" s="61">
        <v>50.1</v>
      </c>
    </row>
    <row r="7" spans="1:18" ht="21" customHeight="1">
      <c r="A7" s="40" t="s">
        <v>42</v>
      </c>
      <c r="B7" s="8">
        <v>1010202001</v>
      </c>
      <c r="C7" s="60">
        <v>35.4</v>
      </c>
      <c r="D7" s="61"/>
      <c r="E7" s="61">
        <f aca="true" t="shared" si="6" ref="E7:E23">C7+D7</f>
        <v>35.4</v>
      </c>
      <c r="F7" s="61">
        <f>26.1</f>
        <v>26.1</v>
      </c>
      <c r="G7" s="61">
        <v>0.7</v>
      </c>
      <c r="H7" s="61">
        <f>G7+M7</f>
        <v>6.3</v>
      </c>
      <c r="I7" s="62">
        <f t="shared" si="4"/>
        <v>0.17796610169491525</v>
      </c>
      <c r="J7" s="62">
        <f t="shared" si="5"/>
        <v>0.24137931034482757</v>
      </c>
      <c r="K7" s="61">
        <v>16</v>
      </c>
      <c r="L7" s="62">
        <f t="shared" si="1"/>
        <v>0.39375</v>
      </c>
      <c r="M7" s="61">
        <v>5.6</v>
      </c>
      <c r="N7" s="61">
        <v>14.2</v>
      </c>
      <c r="O7" s="62">
        <f t="shared" si="2"/>
        <v>0.39436619718309857</v>
      </c>
      <c r="P7" s="61">
        <v>3.8</v>
      </c>
      <c r="Q7" s="61"/>
      <c r="R7" s="61"/>
    </row>
    <row r="8" spans="1:18" ht="21" customHeight="1">
      <c r="A8" s="40" t="s">
        <v>43</v>
      </c>
      <c r="B8" s="8">
        <v>1010203001</v>
      </c>
      <c r="C8" s="60">
        <v>18.2</v>
      </c>
      <c r="D8" s="61"/>
      <c r="E8" s="61">
        <f t="shared" si="6"/>
        <v>18.2</v>
      </c>
      <c r="F8" s="61">
        <f>2+45</f>
        <v>47</v>
      </c>
      <c r="G8" s="61">
        <v>22.7</v>
      </c>
      <c r="H8" s="61">
        <f>G8+M8</f>
        <v>25.9</v>
      </c>
      <c r="I8" s="62">
        <f t="shared" si="4"/>
        <v>1.4230769230769231</v>
      </c>
      <c r="J8" s="62">
        <f t="shared" si="5"/>
        <v>0.551063829787234</v>
      </c>
      <c r="K8" s="61">
        <v>66.2</v>
      </c>
      <c r="L8" s="62">
        <f t="shared" si="1"/>
        <v>0.391238670694864</v>
      </c>
      <c r="M8" s="61">
        <v>3.2</v>
      </c>
      <c r="N8" s="61">
        <v>39.5</v>
      </c>
      <c r="O8" s="62">
        <f t="shared" si="2"/>
        <v>0.0810126582278481</v>
      </c>
      <c r="P8" s="61">
        <v>2.9</v>
      </c>
      <c r="Q8" s="61">
        <v>2.9</v>
      </c>
      <c r="R8" s="61">
        <v>2.9</v>
      </c>
    </row>
    <row r="9" spans="1:18" ht="20.25" customHeight="1" hidden="1">
      <c r="A9" s="40" t="s">
        <v>33</v>
      </c>
      <c r="B9" s="8">
        <v>1010204001</v>
      </c>
      <c r="C9" s="60"/>
      <c r="D9" s="61"/>
      <c r="E9" s="61">
        <f t="shared" si="6"/>
        <v>0</v>
      </c>
      <c r="F9" s="61">
        <f>2+0.2</f>
        <v>2.2</v>
      </c>
      <c r="G9" s="61"/>
      <c r="H9" s="61">
        <f>G9+M9</f>
        <v>0</v>
      </c>
      <c r="I9" s="62">
        <f t="shared" si="4"/>
        <v>0</v>
      </c>
      <c r="J9" s="62">
        <f t="shared" si="5"/>
        <v>0</v>
      </c>
      <c r="K9" s="61"/>
      <c r="L9" s="62">
        <f t="shared" si="1"/>
        <v>0</v>
      </c>
      <c r="M9" s="61"/>
      <c r="N9" s="61"/>
      <c r="O9" s="62">
        <f t="shared" si="2"/>
        <v>0</v>
      </c>
      <c r="P9" s="61"/>
      <c r="Q9" s="61"/>
      <c r="R9" s="61"/>
    </row>
    <row r="10" spans="1:18" ht="18" customHeight="1">
      <c r="A10" s="37" t="s">
        <v>50</v>
      </c>
      <c r="B10" s="39">
        <v>1030200001</v>
      </c>
      <c r="C10" s="58">
        <f aca="true" t="shared" si="7" ref="C10:H10">SUM(C11:C14)</f>
        <v>6432.400000000001</v>
      </c>
      <c r="D10" s="58">
        <f t="shared" si="7"/>
        <v>0</v>
      </c>
      <c r="E10" s="58">
        <f t="shared" si="7"/>
        <v>6432.400000000001</v>
      </c>
      <c r="F10" s="58">
        <f>925+200+490+1350+1800</f>
        <v>4765</v>
      </c>
      <c r="G10" s="58">
        <f>SUM(G11:G14)</f>
        <v>2645.5</v>
      </c>
      <c r="H10" s="58">
        <f t="shared" si="7"/>
        <v>3189.6000000000004</v>
      </c>
      <c r="I10" s="59">
        <f t="shared" si="4"/>
        <v>0.4958646850320254</v>
      </c>
      <c r="J10" s="59">
        <f t="shared" si="5"/>
        <v>0.6693809024134314</v>
      </c>
      <c r="K10" s="58">
        <f>SUM(K11:K14)</f>
        <v>3021.2999999999997</v>
      </c>
      <c r="L10" s="59">
        <f t="shared" si="1"/>
        <v>1.0557044980637476</v>
      </c>
      <c r="M10" s="58">
        <f>SUM(M11:M14)</f>
        <v>544.0999999999999</v>
      </c>
      <c r="N10" s="58">
        <f>SUM(N11:N14)</f>
        <v>503</v>
      </c>
      <c r="O10" s="59">
        <f t="shared" si="2"/>
        <v>1.0817097415506955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51</v>
      </c>
      <c r="B11" s="41">
        <v>1030223001</v>
      </c>
      <c r="C11" s="60">
        <v>2262.6</v>
      </c>
      <c r="D11" s="61"/>
      <c r="E11" s="61">
        <f t="shared" si="6"/>
        <v>2262.6</v>
      </c>
      <c r="F11" s="61"/>
      <c r="G11" s="61">
        <v>1142.2</v>
      </c>
      <c r="H11" s="61">
        <f>G11+M11</f>
        <v>1382.3</v>
      </c>
      <c r="I11" s="62">
        <f t="shared" si="4"/>
        <v>0.6109343233448246</v>
      </c>
      <c r="J11" s="62">
        <f t="shared" si="5"/>
        <v>0</v>
      </c>
      <c r="K11" s="61">
        <v>1193.1</v>
      </c>
      <c r="L11" s="62">
        <f t="shared" si="1"/>
        <v>1.158578493001425</v>
      </c>
      <c r="M11" s="61">
        <v>240.1</v>
      </c>
      <c r="N11" s="61">
        <v>205</v>
      </c>
      <c r="O11" s="62">
        <f t="shared" si="2"/>
        <v>1.1712195121951219</v>
      </c>
      <c r="P11" s="61"/>
      <c r="Q11" s="61"/>
      <c r="R11" s="61"/>
    </row>
    <row r="12" spans="1:18" ht="18.75">
      <c r="A12" s="41" t="s">
        <v>52</v>
      </c>
      <c r="B12" s="41">
        <v>1030224001</v>
      </c>
      <c r="C12" s="60">
        <v>18.6</v>
      </c>
      <c r="D12" s="61"/>
      <c r="E12" s="61">
        <f t="shared" si="6"/>
        <v>18.6</v>
      </c>
      <c r="F12" s="61"/>
      <c r="G12" s="61">
        <v>8.5</v>
      </c>
      <c r="H12" s="61">
        <f>G12+M12</f>
        <v>10.5</v>
      </c>
      <c r="I12" s="62">
        <f t="shared" si="4"/>
        <v>0.564516129032258</v>
      </c>
      <c r="J12" s="62">
        <f t="shared" si="5"/>
        <v>0</v>
      </c>
      <c r="K12" s="61">
        <v>13</v>
      </c>
      <c r="L12" s="62">
        <f t="shared" si="1"/>
        <v>0.8076923076923077</v>
      </c>
      <c r="M12" s="61">
        <v>2</v>
      </c>
      <c r="N12" s="61">
        <v>2.4</v>
      </c>
      <c r="O12" s="62">
        <f t="shared" si="2"/>
        <v>0.8333333333333334</v>
      </c>
      <c r="P12" s="61"/>
      <c r="Q12" s="61"/>
      <c r="R12" s="61"/>
    </row>
    <row r="13" spans="1:18" ht="18.75" customHeight="1">
      <c r="A13" s="41" t="s">
        <v>53</v>
      </c>
      <c r="B13" s="41">
        <v>1030225001</v>
      </c>
      <c r="C13" s="60">
        <v>4574.6</v>
      </c>
      <c r="D13" s="61"/>
      <c r="E13" s="61">
        <f t="shared" si="6"/>
        <v>4574.6</v>
      </c>
      <c r="F13" s="61"/>
      <c r="G13" s="61">
        <v>1731.3</v>
      </c>
      <c r="H13" s="61">
        <f>G13+M13</f>
        <v>2084</v>
      </c>
      <c r="I13" s="62">
        <f t="shared" si="4"/>
        <v>0.4555589559742928</v>
      </c>
      <c r="J13" s="62">
        <f t="shared" si="5"/>
        <v>0</v>
      </c>
      <c r="K13" s="61">
        <v>2057.2</v>
      </c>
      <c r="L13" s="62">
        <f t="shared" si="1"/>
        <v>1.0130274159051138</v>
      </c>
      <c r="M13" s="61">
        <v>352.7</v>
      </c>
      <c r="N13" s="61">
        <v>348.7</v>
      </c>
      <c r="O13" s="62">
        <f t="shared" si="2"/>
        <v>1.0114711786636077</v>
      </c>
      <c r="P13" s="61"/>
      <c r="Q13" s="61"/>
      <c r="R13" s="61"/>
    </row>
    <row r="14" spans="1:18" ht="18.75" customHeight="1">
      <c r="A14" s="41" t="s">
        <v>54</v>
      </c>
      <c r="B14" s="41">
        <v>1030226001</v>
      </c>
      <c r="C14" s="60">
        <v>-423.4</v>
      </c>
      <c r="D14" s="61"/>
      <c r="E14" s="61">
        <f t="shared" si="6"/>
        <v>-423.4</v>
      </c>
      <c r="F14" s="61"/>
      <c r="G14" s="61">
        <v>-236.5</v>
      </c>
      <c r="H14" s="61">
        <f>G14+M14</f>
        <v>-287.2</v>
      </c>
      <c r="I14" s="62">
        <f>H14/E14</f>
        <v>0.6783183750590458</v>
      </c>
      <c r="J14" s="62">
        <f t="shared" si="5"/>
        <v>0</v>
      </c>
      <c r="K14" s="61">
        <v>-242</v>
      </c>
      <c r="L14" s="62">
        <f t="shared" si="1"/>
        <v>0</v>
      </c>
      <c r="M14" s="61">
        <v>-50.7</v>
      </c>
      <c r="N14" s="61">
        <v>-53.1</v>
      </c>
      <c r="O14" s="62">
        <f t="shared" si="2"/>
        <v>0</v>
      </c>
      <c r="P14" s="61"/>
      <c r="Q14" s="61"/>
      <c r="R14" s="61"/>
    </row>
    <row r="15" spans="1:18" ht="18.75">
      <c r="A15" s="37" t="s">
        <v>57</v>
      </c>
      <c r="B15" s="38">
        <v>1050000000</v>
      </c>
      <c r="C15" s="58">
        <f aca="true" t="shared" si="8" ref="C15:H15">SUM(C16:C20)</f>
        <v>29165</v>
      </c>
      <c r="D15" s="58">
        <f t="shared" si="8"/>
        <v>309.8</v>
      </c>
      <c r="E15" s="58">
        <f t="shared" si="8"/>
        <v>29474.800000000003</v>
      </c>
      <c r="F15" s="58">
        <f t="shared" si="8"/>
        <v>11352.9</v>
      </c>
      <c r="G15" s="58">
        <f>SUM(G16:G20)</f>
        <v>15131</v>
      </c>
      <c r="H15" s="58">
        <f t="shared" si="8"/>
        <v>16863.6</v>
      </c>
      <c r="I15" s="59">
        <f t="shared" si="4"/>
        <v>0.5721361977010869</v>
      </c>
      <c r="J15" s="59">
        <f t="shared" si="5"/>
        <v>1.485400206114737</v>
      </c>
      <c r="K15" s="58">
        <f>SUM(K16:K20)</f>
        <v>16437.3</v>
      </c>
      <c r="L15" s="59">
        <f t="shared" si="1"/>
        <v>1.0259349163183733</v>
      </c>
      <c r="M15" s="58">
        <f>SUM(M16:M20)</f>
        <v>1732.6000000000001</v>
      </c>
      <c r="N15" s="58">
        <f>SUM(N16:N20)</f>
        <v>2613.8999999999996</v>
      </c>
      <c r="O15" s="59">
        <f t="shared" si="2"/>
        <v>0.6628409656069476</v>
      </c>
      <c r="P15" s="58">
        <f>SUM(P16:P20)</f>
        <v>105.2</v>
      </c>
      <c r="Q15" s="58">
        <f>SUM(Q16:Q20)</f>
        <v>595.3000000000001</v>
      </c>
      <c r="R15" s="58">
        <f>SUM(R16:R20)</f>
        <v>763.6</v>
      </c>
    </row>
    <row r="16" spans="1:18" ht="18.75">
      <c r="A16" s="40" t="s">
        <v>55</v>
      </c>
      <c r="B16" s="8">
        <v>1050101001</v>
      </c>
      <c r="C16" s="60">
        <v>17380</v>
      </c>
      <c r="D16" s="61"/>
      <c r="E16" s="61">
        <f t="shared" si="6"/>
        <v>17380</v>
      </c>
      <c r="F16" s="61">
        <f>1100+1131+3100+350+1370</f>
        <v>7051</v>
      </c>
      <c r="G16" s="61">
        <v>9290.1</v>
      </c>
      <c r="H16" s="61">
        <f aca="true" t="shared" si="9" ref="H16:H23">G16+M16</f>
        <v>10219.800000000001</v>
      </c>
      <c r="I16" s="62">
        <f t="shared" si="4"/>
        <v>0.5880207134637515</v>
      </c>
      <c r="J16" s="62">
        <f t="shared" si="5"/>
        <v>1.4494114310026949</v>
      </c>
      <c r="K16" s="61">
        <v>10124.8</v>
      </c>
      <c r="L16" s="62">
        <f t="shared" si="1"/>
        <v>1.009382901390645</v>
      </c>
      <c r="M16" s="61">
        <v>929.7</v>
      </c>
      <c r="N16" s="61">
        <v>2486.2</v>
      </c>
      <c r="O16" s="62">
        <f t="shared" si="2"/>
        <v>0.3739441718284933</v>
      </c>
      <c r="P16" s="61">
        <v>73.6</v>
      </c>
      <c r="Q16" s="61">
        <v>518.4</v>
      </c>
      <c r="R16" s="61">
        <v>710.3</v>
      </c>
    </row>
    <row r="17" spans="1:18" ht="18.75">
      <c r="A17" s="40" t="s">
        <v>56</v>
      </c>
      <c r="B17" s="8">
        <v>1050102001</v>
      </c>
      <c r="C17" s="60">
        <v>6040.7</v>
      </c>
      <c r="D17" s="61"/>
      <c r="E17" s="61">
        <f t="shared" si="6"/>
        <v>6040.7</v>
      </c>
      <c r="F17" s="61">
        <f>100+159+500+350+400</f>
        <v>1509</v>
      </c>
      <c r="G17" s="61">
        <v>2715.7</v>
      </c>
      <c r="H17" s="61">
        <f t="shared" si="9"/>
        <v>3396.7999999999997</v>
      </c>
      <c r="I17" s="62">
        <f t="shared" si="4"/>
        <v>0.5623189365470889</v>
      </c>
      <c r="J17" s="62">
        <f t="shared" si="5"/>
        <v>2.251027170311464</v>
      </c>
      <c r="K17" s="61">
        <v>3601.5</v>
      </c>
      <c r="L17" s="62">
        <f t="shared" si="1"/>
        <v>0.9431625711509093</v>
      </c>
      <c r="M17" s="61">
        <v>681.1</v>
      </c>
      <c r="N17" s="61">
        <v>45.2</v>
      </c>
      <c r="O17" s="62">
        <f t="shared" si="2"/>
        <v>15.06858407079646</v>
      </c>
      <c r="P17" s="61">
        <v>1.4</v>
      </c>
      <c r="Q17" s="61">
        <v>48.2</v>
      </c>
      <c r="R17" s="61">
        <v>1.7</v>
      </c>
    </row>
    <row r="18" spans="1:18" ht="18.75">
      <c r="A18" s="40" t="s">
        <v>0</v>
      </c>
      <c r="B18" s="8">
        <v>1050200002</v>
      </c>
      <c r="C18" s="60">
        <v>5221.8</v>
      </c>
      <c r="D18" s="61">
        <f>259.8</f>
        <v>259.8</v>
      </c>
      <c r="E18" s="61">
        <f t="shared" si="6"/>
        <v>5481.6</v>
      </c>
      <c r="F18" s="61">
        <f>1000+126+65+1480-30</f>
        <v>2641</v>
      </c>
      <c r="G18" s="61">
        <v>2811.5</v>
      </c>
      <c r="H18" s="61">
        <f t="shared" si="9"/>
        <v>2926.1</v>
      </c>
      <c r="I18" s="62">
        <f t="shared" si="4"/>
        <v>0.5338039988324577</v>
      </c>
      <c r="J18" s="62">
        <f t="shared" si="5"/>
        <v>1.107951533510034</v>
      </c>
      <c r="K18" s="61">
        <v>2427</v>
      </c>
      <c r="L18" s="62">
        <f t="shared" si="1"/>
        <v>1.2056448290070045</v>
      </c>
      <c r="M18" s="61">
        <v>114.6</v>
      </c>
      <c r="N18" s="61">
        <v>63.1</v>
      </c>
      <c r="O18" s="62">
        <f t="shared" si="2"/>
        <v>1.8161648177496037</v>
      </c>
      <c r="P18" s="61">
        <v>30.2</v>
      </c>
      <c r="Q18" s="61">
        <v>28.7</v>
      </c>
      <c r="R18" s="61">
        <v>51.6</v>
      </c>
    </row>
    <row r="19" spans="1:18" ht="18.75">
      <c r="A19" s="40" t="s">
        <v>7</v>
      </c>
      <c r="B19" s="8">
        <v>1050300001</v>
      </c>
      <c r="C19" s="60">
        <v>372.5</v>
      </c>
      <c r="D19" s="61"/>
      <c r="E19" s="61">
        <f t="shared" si="6"/>
        <v>372.5</v>
      </c>
      <c r="F19" s="61">
        <f>5.4+5.6+52</f>
        <v>63</v>
      </c>
      <c r="G19" s="61">
        <v>51.1</v>
      </c>
      <c r="H19" s="61">
        <f t="shared" si="9"/>
        <v>51.1</v>
      </c>
      <c r="I19" s="62">
        <f t="shared" si="4"/>
        <v>0.13718120805369127</v>
      </c>
      <c r="J19" s="62">
        <f t="shared" si="5"/>
        <v>0.8111111111111111</v>
      </c>
      <c r="K19" s="61">
        <v>172.1</v>
      </c>
      <c r="L19" s="62">
        <f t="shared" si="1"/>
        <v>0.29692039511911683</v>
      </c>
      <c r="M19" s="61"/>
      <c r="N19" s="61">
        <v>15.1</v>
      </c>
      <c r="O19" s="62">
        <f t="shared" si="2"/>
        <v>0</v>
      </c>
      <c r="P19" s="61"/>
      <c r="Q19" s="61"/>
      <c r="R19" s="61"/>
    </row>
    <row r="20" spans="1:18" ht="18.75">
      <c r="A20" s="40" t="s">
        <v>98</v>
      </c>
      <c r="B20" s="8">
        <v>1050402002</v>
      </c>
      <c r="C20" s="60">
        <v>150</v>
      </c>
      <c r="D20" s="61">
        <v>50</v>
      </c>
      <c r="E20" s="61">
        <f t="shared" si="6"/>
        <v>200</v>
      </c>
      <c r="F20" s="61">
        <f>50+15+2.9+21</f>
        <v>88.9</v>
      </c>
      <c r="G20" s="61">
        <v>262.6</v>
      </c>
      <c r="H20" s="61">
        <f t="shared" si="9"/>
        <v>269.8</v>
      </c>
      <c r="I20" s="62">
        <f t="shared" si="4"/>
        <v>1.349</v>
      </c>
      <c r="J20" s="62">
        <f t="shared" si="5"/>
        <v>3.034870641169854</v>
      </c>
      <c r="K20" s="61">
        <v>111.9</v>
      </c>
      <c r="L20" s="62">
        <f t="shared" si="1"/>
        <v>2.4110813226094727</v>
      </c>
      <c r="M20" s="61">
        <v>7.2</v>
      </c>
      <c r="N20" s="61">
        <v>4.3</v>
      </c>
      <c r="O20" s="62">
        <f t="shared" si="2"/>
        <v>1.6744186046511629</v>
      </c>
      <c r="P20" s="61"/>
      <c r="Q20" s="61"/>
      <c r="R20" s="61"/>
    </row>
    <row r="21" spans="1:18" ht="16.5" customHeight="1">
      <c r="A21" s="37" t="s">
        <v>59</v>
      </c>
      <c r="B21" s="38">
        <v>1060201002</v>
      </c>
      <c r="C21" s="58">
        <v>4121.2</v>
      </c>
      <c r="D21" s="63"/>
      <c r="E21" s="63">
        <f t="shared" si="6"/>
        <v>4121.2</v>
      </c>
      <c r="F21" s="63">
        <f>300+93+770+670+150</f>
        <v>1983</v>
      </c>
      <c r="G21" s="63">
        <v>2291.9</v>
      </c>
      <c r="H21" s="63">
        <f t="shared" si="9"/>
        <v>2299.7000000000003</v>
      </c>
      <c r="I21" s="59">
        <f t="shared" si="4"/>
        <v>0.5580170824031836</v>
      </c>
      <c r="J21" s="59">
        <f t="shared" si="5"/>
        <v>1.1597075138678772</v>
      </c>
      <c r="K21" s="63">
        <v>1998.1</v>
      </c>
      <c r="L21" s="59">
        <f t="shared" si="1"/>
        <v>1.1509433962264153</v>
      </c>
      <c r="M21" s="63">
        <v>7.8</v>
      </c>
      <c r="N21" s="63">
        <v>5.3</v>
      </c>
      <c r="O21" s="59">
        <f t="shared" si="2"/>
        <v>1.4716981132075473</v>
      </c>
      <c r="P21" s="63">
        <v>173.2</v>
      </c>
      <c r="Q21" s="63">
        <v>177.9</v>
      </c>
      <c r="R21" s="63">
        <v>170.3</v>
      </c>
    </row>
    <row r="22" spans="1:18" ht="18" customHeight="1">
      <c r="A22" s="37" t="s">
        <v>66</v>
      </c>
      <c r="B22" s="38">
        <v>1080000000</v>
      </c>
      <c r="C22" s="58">
        <v>410</v>
      </c>
      <c r="D22" s="63"/>
      <c r="E22" s="63">
        <f t="shared" si="6"/>
        <v>410</v>
      </c>
      <c r="F22" s="63">
        <f>75+34+90+90</f>
        <v>289</v>
      </c>
      <c r="G22" s="63">
        <v>222.5</v>
      </c>
      <c r="H22" s="63">
        <f t="shared" si="9"/>
        <v>258.7</v>
      </c>
      <c r="I22" s="59">
        <f t="shared" si="4"/>
        <v>0.6309756097560976</v>
      </c>
      <c r="J22" s="59">
        <f t="shared" si="5"/>
        <v>0.8951557093425605</v>
      </c>
      <c r="K22" s="63">
        <v>218.7</v>
      </c>
      <c r="L22" s="59">
        <f t="shared" si="1"/>
        <v>1.182898948331047</v>
      </c>
      <c r="M22" s="63">
        <v>36.2</v>
      </c>
      <c r="N22" s="63">
        <v>57.7</v>
      </c>
      <c r="O22" s="59">
        <f t="shared" si="2"/>
        <v>0.6273830155979203</v>
      </c>
      <c r="P22" s="63"/>
      <c r="Q22" s="63"/>
      <c r="R22" s="63"/>
    </row>
    <row r="23" spans="1:18" ht="2.25" customHeight="1" hidden="1">
      <c r="A23" s="37" t="s">
        <v>58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22</v>
      </c>
      <c r="B24" s="43"/>
      <c r="C24" s="56">
        <f aca="true" t="shared" si="10" ref="C24:H24">C25+C31+C32+C36+C39+C40</f>
        <v>11212.6</v>
      </c>
      <c r="D24" s="56">
        <f t="shared" si="10"/>
        <v>4166.099999999999</v>
      </c>
      <c r="E24" s="56">
        <f t="shared" si="10"/>
        <v>15378.7</v>
      </c>
      <c r="F24" s="56">
        <f t="shared" si="10"/>
        <v>7948.7</v>
      </c>
      <c r="G24" s="143">
        <f>G25+G31+G32+G36+G39+G40</f>
        <v>9763.899999999998</v>
      </c>
      <c r="H24" s="56">
        <f t="shared" si="10"/>
        <v>10479.900000000001</v>
      </c>
      <c r="I24" s="57">
        <f t="shared" si="4"/>
        <v>0.6814555196473044</v>
      </c>
      <c r="J24" s="57">
        <f t="shared" si="5"/>
        <v>1.3184420093851827</v>
      </c>
      <c r="K24" s="143">
        <f>K25+K31+K32+K36+K39+K40</f>
        <v>8190.6</v>
      </c>
      <c r="L24" s="57">
        <f t="shared" si="1"/>
        <v>1.2795033330891512</v>
      </c>
      <c r="M24" s="143">
        <f>M25+M31+M32+M36+M39+M40</f>
        <v>716.0000000000001</v>
      </c>
      <c r="N24" s="143">
        <f>N25+N31+N32+N36+N39+N40</f>
        <v>1011.6999999999999</v>
      </c>
      <c r="O24" s="57">
        <f t="shared" si="2"/>
        <v>0.7077196797469607</v>
      </c>
      <c r="P24" s="56">
        <f>P25+P31+P32+P36+P39+P40</f>
        <v>646.8</v>
      </c>
      <c r="Q24" s="56">
        <f>Q25+Q31+Q32+Q36+Q39+Q40</f>
        <v>774.6</v>
      </c>
      <c r="R24" s="56">
        <f>R25+R31+R32+R36+R39+R40</f>
        <v>514.1</v>
      </c>
    </row>
    <row r="25" spans="1:18" ht="18.75">
      <c r="A25" s="44" t="s">
        <v>63</v>
      </c>
      <c r="B25" s="38">
        <v>1110000000</v>
      </c>
      <c r="C25" s="58">
        <f aca="true" t="shared" si="11" ref="C25:H25">SUM(C26:C30)</f>
        <v>2227.8</v>
      </c>
      <c r="D25" s="58">
        <f t="shared" si="11"/>
        <v>0</v>
      </c>
      <c r="E25" s="58">
        <f t="shared" si="11"/>
        <v>2227.8</v>
      </c>
      <c r="F25" s="58">
        <f t="shared" si="11"/>
        <v>2087.3</v>
      </c>
      <c r="G25" s="144">
        <f>SUM(G26:G30)</f>
        <v>729.5</v>
      </c>
      <c r="H25" s="58">
        <f t="shared" si="11"/>
        <v>968.2</v>
      </c>
      <c r="I25" s="59">
        <f t="shared" si="4"/>
        <v>0.4345991561181434</v>
      </c>
      <c r="J25" s="59">
        <f t="shared" si="5"/>
        <v>0.46385282422268</v>
      </c>
      <c r="K25" s="144">
        <f>SUM(K26:K30)</f>
        <v>1608.2</v>
      </c>
      <c r="L25" s="59">
        <f t="shared" si="1"/>
        <v>0.6020395473199851</v>
      </c>
      <c r="M25" s="144">
        <f>SUM(M26:M30)</f>
        <v>238.70000000000002</v>
      </c>
      <c r="N25" s="144">
        <f>SUM(N26:N30)</f>
        <v>256.6</v>
      </c>
      <c r="O25" s="59">
        <f t="shared" si="2"/>
        <v>0.9302416212003117</v>
      </c>
      <c r="P25" s="58">
        <f>SUM(P26:P30)</f>
        <v>646.8</v>
      </c>
      <c r="Q25" s="58">
        <f>SUM(Q26:Q30)</f>
        <v>774.6</v>
      </c>
      <c r="R25" s="58">
        <f>SUM(R26:R30)</f>
        <v>514.1</v>
      </c>
    </row>
    <row r="26" spans="1:18" ht="18.75">
      <c r="A26" s="8" t="s">
        <v>20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145"/>
      <c r="H26" s="61">
        <f aca="true" t="shared" si="13" ref="H26:H31">G26+M26</f>
        <v>0</v>
      </c>
      <c r="I26" s="62">
        <f t="shared" si="4"/>
        <v>0</v>
      </c>
      <c r="J26" s="62">
        <f t="shared" si="5"/>
        <v>0</v>
      </c>
      <c r="K26" s="145"/>
      <c r="L26" s="62">
        <f t="shared" si="1"/>
        <v>0</v>
      </c>
      <c r="M26" s="145"/>
      <c r="N26" s="145"/>
      <c r="O26" s="62">
        <f t="shared" si="2"/>
        <v>0</v>
      </c>
      <c r="P26" s="61"/>
      <c r="Q26" s="61"/>
      <c r="R26" s="61"/>
    </row>
    <row r="27" spans="1:18" ht="18.75">
      <c r="A27" s="8" t="s">
        <v>60</v>
      </c>
      <c r="B27" s="8">
        <v>1110501300</v>
      </c>
      <c r="C27" s="60">
        <v>1490</v>
      </c>
      <c r="D27" s="61"/>
      <c r="E27" s="61">
        <f t="shared" si="12"/>
        <v>1490</v>
      </c>
      <c r="F27" s="61">
        <f>60+420+420</f>
        <v>900</v>
      </c>
      <c r="G27" s="145">
        <v>396.9</v>
      </c>
      <c r="H27" s="61">
        <f t="shared" si="13"/>
        <v>566.5</v>
      </c>
      <c r="I27" s="62">
        <f t="shared" si="4"/>
        <v>0.3802013422818792</v>
      </c>
      <c r="J27" s="62">
        <f t="shared" si="5"/>
        <v>0.6294444444444445</v>
      </c>
      <c r="K27" s="145">
        <v>839.4</v>
      </c>
      <c r="L27" s="62">
        <f t="shared" si="1"/>
        <v>0.674886823921849</v>
      </c>
      <c r="M27" s="145">
        <v>169.6</v>
      </c>
      <c r="N27" s="145">
        <v>120.4</v>
      </c>
      <c r="O27" s="62">
        <f t="shared" si="2"/>
        <v>1.4086378737541527</v>
      </c>
      <c r="P27" s="61">
        <f>246.4+400.4</f>
        <v>646.8</v>
      </c>
      <c r="Q27" s="61">
        <f>486.7+226.5</f>
        <v>713.2</v>
      </c>
      <c r="R27" s="61">
        <f>268.4+159.6</f>
        <v>428</v>
      </c>
    </row>
    <row r="28" spans="1:18" ht="18.75">
      <c r="A28" s="8" t="s">
        <v>61</v>
      </c>
      <c r="B28" s="8">
        <v>1110502505</v>
      </c>
      <c r="C28" s="60">
        <v>12.2</v>
      </c>
      <c r="D28" s="61"/>
      <c r="E28" s="61">
        <f t="shared" si="12"/>
        <v>12.2</v>
      </c>
      <c r="F28" s="61"/>
      <c r="G28" s="145"/>
      <c r="H28" s="61">
        <f t="shared" si="13"/>
        <v>0</v>
      </c>
      <c r="I28" s="62">
        <f t="shared" si="4"/>
        <v>0</v>
      </c>
      <c r="J28" s="62">
        <f t="shared" si="5"/>
        <v>0</v>
      </c>
      <c r="K28" s="145"/>
      <c r="L28" s="62">
        <f t="shared" si="1"/>
        <v>0</v>
      </c>
      <c r="M28" s="145"/>
      <c r="N28" s="145"/>
      <c r="O28" s="62">
        <f t="shared" si="2"/>
        <v>0</v>
      </c>
      <c r="P28" s="61"/>
      <c r="Q28" s="61"/>
      <c r="R28" s="61"/>
    </row>
    <row r="29" spans="1:18" ht="18.75">
      <c r="A29" s="8" t="s">
        <v>62</v>
      </c>
      <c r="B29" s="8">
        <v>1110503505</v>
      </c>
      <c r="C29" s="60">
        <v>725.6</v>
      </c>
      <c r="D29" s="61"/>
      <c r="E29" s="61">
        <f t="shared" si="12"/>
        <v>725.6</v>
      </c>
      <c r="F29" s="61">
        <f>250+140+365+165.3+267</f>
        <v>1187.3</v>
      </c>
      <c r="G29" s="145">
        <v>330.5</v>
      </c>
      <c r="H29" s="61">
        <f t="shared" si="13"/>
        <v>397.2</v>
      </c>
      <c r="I29" s="62">
        <f t="shared" si="4"/>
        <v>0.5474090407938258</v>
      </c>
      <c r="J29" s="62">
        <f t="shared" si="5"/>
        <v>0.33454055419860185</v>
      </c>
      <c r="K29" s="145">
        <v>763.6</v>
      </c>
      <c r="L29" s="62">
        <f t="shared" si="1"/>
        <v>0.5201676270298585</v>
      </c>
      <c r="M29" s="145">
        <v>66.7</v>
      </c>
      <c r="N29" s="145">
        <v>136.2</v>
      </c>
      <c r="O29" s="62">
        <f t="shared" si="2"/>
        <v>0.4897209985315713</v>
      </c>
      <c r="P29" s="61"/>
      <c r="Q29" s="61">
        <v>61.4</v>
      </c>
      <c r="R29" s="61">
        <v>86.1</v>
      </c>
    </row>
    <row r="30" spans="1:18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45">
        <v>2.1</v>
      </c>
      <c r="H30" s="61">
        <f t="shared" si="13"/>
        <v>4.5</v>
      </c>
      <c r="I30" s="62">
        <f t="shared" si="4"/>
        <v>0</v>
      </c>
      <c r="J30" s="62">
        <f t="shared" si="5"/>
        <v>0</v>
      </c>
      <c r="K30" s="145">
        <v>5.2</v>
      </c>
      <c r="L30" s="62">
        <f t="shared" si="1"/>
        <v>0.8653846153846153</v>
      </c>
      <c r="M30" s="145">
        <v>2.4</v>
      </c>
      <c r="N30" s="145"/>
      <c r="O30" s="62">
        <f t="shared" si="2"/>
        <v>0</v>
      </c>
      <c r="P30" s="61"/>
      <c r="Q30" s="61"/>
      <c r="R30" s="61"/>
    </row>
    <row r="31" spans="1:18" ht="18.75">
      <c r="A31" s="44" t="s">
        <v>67</v>
      </c>
      <c r="B31" s="38">
        <v>1120100000</v>
      </c>
      <c r="C31" s="58">
        <v>29.9</v>
      </c>
      <c r="D31" s="63"/>
      <c r="E31" s="63">
        <f t="shared" si="12"/>
        <v>29.9</v>
      </c>
      <c r="F31" s="63">
        <f>30+30+15</f>
        <v>75</v>
      </c>
      <c r="G31" s="146">
        <v>24.4</v>
      </c>
      <c r="H31" s="63">
        <f t="shared" si="13"/>
        <v>24.4</v>
      </c>
      <c r="I31" s="59">
        <f t="shared" si="4"/>
        <v>0.8160535117056856</v>
      </c>
      <c r="J31" s="59">
        <f t="shared" si="5"/>
        <v>0.3253333333333333</v>
      </c>
      <c r="K31" s="146">
        <v>72.6</v>
      </c>
      <c r="L31" s="59">
        <f t="shared" si="1"/>
        <v>0.33608815426997246</v>
      </c>
      <c r="M31" s="146"/>
      <c r="N31" s="146">
        <v>1</v>
      </c>
      <c r="O31" s="59">
        <f t="shared" si="2"/>
        <v>0</v>
      </c>
      <c r="P31" s="63"/>
      <c r="Q31" s="63"/>
      <c r="R31" s="63"/>
    </row>
    <row r="32" spans="1:18" ht="18.75">
      <c r="A32" s="44" t="s">
        <v>68</v>
      </c>
      <c r="B32" s="38">
        <v>1130000000</v>
      </c>
      <c r="C32" s="58">
        <f aca="true" t="shared" si="14" ref="C32:H32">SUM(C33:C35)</f>
        <v>8774.3</v>
      </c>
      <c r="D32" s="58">
        <f t="shared" si="14"/>
        <v>0</v>
      </c>
      <c r="E32" s="58">
        <f t="shared" si="14"/>
        <v>8774.3</v>
      </c>
      <c r="F32" s="58">
        <f t="shared" si="14"/>
        <v>5703.4</v>
      </c>
      <c r="G32" s="144">
        <f>SUM(G33:G35)</f>
        <v>4594.099999999999</v>
      </c>
      <c r="H32" s="58">
        <f t="shared" si="14"/>
        <v>5059.7</v>
      </c>
      <c r="I32" s="59">
        <f t="shared" si="4"/>
        <v>0.5766499891729255</v>
      </c>
      <c r="J32" s="59">
        <f t="shared" si="5"/>
        <v>0.8871374969316548</v>
      </c>
      <c r="K32" s="144">
        <f>SUM(K33:K35)</f>
        <v>6233.700000000001</v>
      </c>
      <c r="L32" s="59">
        <f t="shared" si="1"/>
        <v>0.8116688323146766</v>
      </c>
      <c r="M32" s="144">
        <f>SUM(M33:M35)</f>
        <v>465.6</v>
      </c>
      <c r="N32" s="144">
        <f>SUM(N33:N35)</f>
        <v>682.6999999999999</v>
      </c>
      <c r="O32" s="59">
        <f t="shared" si="2"/>
        <v>0.681997949318881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35</v>
      </c>
      <c r="B33" s="45">
        <v>1130199505</v>
      </c>
      <c r="C33" s="60">
        <v>8001.3</v>
      </c>
      <c r="D33" s="61"/>
      <c r="E33" s="61">
        <f>C33+D33</f>
        <v>8001.3</v>
      </c>
      <c r="F33" s="61">
        <f>1963.4+1945+1295</f>
        <v>5203.4</v>
      </c>
      <c r="G33" s="145">
        <v>3797.7</v>
      </c>
      <c r="H33" s="61">
        <f>G33+M33</f>
        <v>4158.4</v>
      </c>
      <c r="I33" s="62">
        <f t="shared" si="4"/>
        <v>0.5197155462237386</v>
      </c>
      <c r="J33" s="62">
        <f t="shared" si="5"/>
        <v>0.799169773609563</v>
      </c>
      <c r="K33" s="145">
        <v>5491.8</v>
      </c>
      <c r="L33" s="62">
        <f t="shared" si="1"/>
        <v>0.7572016460905349</v>
      </c>
      <c r="M33" s="145">
        <v>360.7</v>
      </c>
      <c r="N33" s="145">
        <v>556.8</v>
      </c>
      <c r="O33" s="62">
        <f t="shared" si="2"/>
        <v>0.647808908045977</v>
      </c>
      <c r="P33" s="61"/>
      <c r="Q33" s="61"/>
      <c r="R33" s="61"/>
    </row>
    <row r="34" spans="1:18" ht="18.75">
      <c r="A34" s="45" t="s">
        <v>36</v>
      </c>
      <c r="B34" s="45">
        <v>1130206505</v>
      </c>
      <c r="C34" s="60">
        <v>773</v>
      </c>
      <c r="D34" s="61"/>
      <c r="E34" s="61">
        <f>C34+D34</f>
        <v>773</v>
      </c>
      <c r="F34" s="61">
        <f>240+165+95</f>
        <v>500</v>
      </c>
      <c r="G34" s="145">
        <v>361.4</v>
      </c>
      <c r="H34" s="61">
        <f>G34+M34</f>
        <v>409.2</v>
      </c>
      <c r="I34" s="62">
        <f t="shared" si="4"/>
        <v>0.529366106080207</v>
      </c>
      <c r="J34" s="62">
        <f t="shared" si="5"/>
        <v>0.8184</v>
      </c>
      <c r="K34" s="145">
        <v>409.8</v>
      </c>
      <c r="L34" s="62">
        <f t="shared" si="1"/>
        <v>0.9985358711566618</v>
      </c>
      <c r="M34" s="145">
        <v>47.8</v>
      </c>
      <c r="N34" s="145">
        <v>40.4</v>
      </c>
      <c r="O34" s="62">
        <f t="shared" si="2"/>
        <v>1.183168316831683</v>
      </c>
      <c r="P34" s="61"/>
      <c r="Q34" s="61"/>
      <c r="R34" s="61"/>
    </row>
    <row r="35" spans="1:18" ht="18.75">
      <c r="A35" s="45" t="s">
        <v>64</v>
      </c>
      <c r="B35" s="45">
        <v>1130299505</v>
      </c>
      <c r="C35" s="60"/>
      <c r="D35" s="61"/>
      <c r="E35" s="61">
        <f>C35+D35</f>
        <v>0</v>
      </c>
      <c r="F35" s="61"/>
      <c r="G35" s="145">
        <v>435</v>
      </c>
      <c r="H35" s="61">
        <f>G35+M35</f>
        <v>492.1</v>
      </c>
      <c r="I35" s="62">
        <f t="shared" si="4"/>
        <v>0</v>
      </c>
      <c r="J35" s="62">
        <f t="shared" si="5"/>
        <v>0</v>
      </c>
      <c r="K35" s="145">
        <v>332.1</v>
      </c>
      <c r="L35" s="62">
        <f t="shared" si="1"/>
        <v>1.4817825956037338</v>
      </c>
      <c r="M35" s="145">
        <v>57.1</v>
      </c>
      <c r="N35" s="145">
        <v>85.5</v>
      </c>
      <c r="O35" s="62">
        <f t="shared" si="2"/>
        <v>0.6678362573099416</v>
      </c>
      <c r="P35" s="61"/>
      <c r="Q35" s="61"/>
      <c r="R35" s="61"/>
    </row>
    <row r="36" spans="1:18" ht="18.75">
      <c r="A36" s="44" t="s">
        <v>69</v>
      </c>
      <c r="B36" s="38">
        <v>1140000000</v>
      </c>
      <c r="C36" s="58">
        <f aca="true" t="shared" si="15" ref="C36:H36">SUM(C37:C38)</f>
        <v>25</v>
      </c>
      <c r="D36" s="58">
        <f t="shared" si="15"/>
        <v>0</v>
      </c>
      <c r="E36" s="58">
        <f t="shared" si="15"/>
        <v>25</v>
      </c>
      <c r="F36" s="58">
        <f t="shared" si="15"/>
        <v>0</v>
      </c>
      <c r="G36" s="144">
        <f>SUM(G37:G38)</f>
        <v>24</v>
      </c>
      <c r="H36" s="58">
        <f t="shared" si="15"/>
        <v>24</v>
      </c>
      <c r="I36" s="59">
        <f t="shared" si="4"/>
        <v>0.96</v>
      </c>
      <c r="J36" s="59">
        <f t="shared" si="5"/>
        <v>0</v>
      </c>
      <c r="K36" s="144">
        <f>SUM(K37:K38)</f>
        <v>21.3</v>
      </c>
      <c r="L36" s="59">
        <f t="shared" si="1"/>
        <v>1.1267605633802817</v>
      </c>
      <c r="M36" s="144">
        <f>M37+M38</f>
        <v>0</v>
      </c>
      <c r="N36" s="144">
        <f>N37+N38</f>
        <v>0</v>
      </c>
      <c r="O36" s="59">
        <f>IF(N36&gt;0,M36/N36,0)</f>
        <v>0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31</v>
      </c>
      <c r="B37" s="8">
        <v>1140205205</v>
      </c>
      <c r="C37" s="60"/>
      <c r="D37" s="61"/>
      <c r="E37" s="61">
        <f>C37+D37</f>
        <v>0</v>
      </c>
      <c r="F37" s="61"/>
      <c r="G37" s="145"/>
      <c r="H37" s="61">
        <f>G37+M37</f>
        <v>0</v>
      </c>
      <c r="I37" s="62">
        <f t="shared" si="4"/>
        <v>0</v>
      </c>
      <c r="J37" s="62">
        <f t="shared" si="5"/>
        <v>0</v>
      </c>
      <c r="K37" s="145"/>
      <c r="L37" s="62">
        <f t="shared" si="1"/>
        <v>0</v>
      </c>
      <c r="M37" s="145"/>
      <c r="N37" s="145"/>
      <c r="O37" s="62">
        <f>IF(N37&gt;0,M37/N37,0)</f>
        <v>0</v>
      </c>
      <c r="P37" s="61"/>
      <c r="Q37" s="61"/>
      <c r="R37" s="61"/>
    </row>
    <row r="38" spans="1:18" ht="18.75">
      <c r="A38" s="8" t="s">
        <v>32</v>
      </c>
      <c r="B38" s="8">
        <v>1140600000</v>
      </c>
      <c r="C38" s="60">
        <v>25</v>
      </c>
      <c r="D38" s="61"/>
      <c r="E38" s="61">
        <f>C38+D38</f>
        <v>25</v>
      </c>
      <c r="F38" s="61"/>
      <c r="G38" s="145">
        <v>24</v>
      </c>
      <c r="H38" s="61">
        <f>G38+M38</f>
        <v>24</v>
      </c>
      <c r="I38" s="62">
        <f t="shared" si="4"/>
        <v>0.96</v>
      </c>
      <c r="J38" s="62">
        <f t="shared" si="5"/>
        <v>0</v>
      </c>
      <c r="K38" s="145">
        <v>21.3</v>
      </c>
      <c r="L38" s="62">
        <f t="shared" si="1"/>
        <v>1.1267605633802817</v>
      </c>
      <c r="M38" s="145"/>
      <c r="N38" s="145"/>
      <c r="O38" s="62">
        <f t="shared" si="2"/>
        <v>0</v>
      </c>
      <c r="P38" s="61"/>
      <c r="Q38" s="61"/>
      <c r="R38" s="61"/>
    </row>
    <row r="39" spans="1:18" ht="18.75">
      <c r="A39" s="44" t="s">
        <v>70</v>
      </c>
      <c r="B39" s="38">
        <v>1160000000</v>
      </c>
      <c r="C39" s="58">
        <v>155.6</v>
      </c>
      <c r="D39" s="63">
        <f>512.5+1580.2+1983.1+90.3</f>
        <v>4166.099999999999</v>
      </c>
      <c r="E39" s="63">
        <f>C39+D39</f>
        <v>4321.7</v>
      </c>
      <c r="F39" s="63">
        <f>38+45</f>
        <v>83</v>
      </c>
      <c r="G39" s="146">
        <v>4386.4</v>
      </c>
      <c r="H39" s="63">
        <f>G39+M39</f>
        <v>4402.9</v>
      </c>
      <c r="I39" s="59">
        <f t="shared" si="4"/>
        <v>1.018788902515214</v>
      </c>
      <c r="J39" s="59">
        <f t="shared" si="5"/>
        <v>53.046987951807225</v>
      </c>
      <c r="K39" s="146">
        <v>256.4</v>
      </c>
      <c r="L39" s="59">
        <f t="shared" si="1"/>
        <v>17.171996879875195</v>
      </c>
      <c r="M39" s="146">
        <v>16.5</v>
      </c>
      <c r="N39" s="146">
        <v>71.4</v>
      </c>
      <c r="O39" s="59">
        <f t="shared" si="2"/>
        <v>0.2310924369747899</v>
      </c>
      <c r="P39" s="63"/>
      <c r="Q39" s="63"/>
      <c r="R39" s="63"/>
    </row>
    <row r="40" spans="1:18" ht="18.75">
      <c r="A40" s="44" t="s">
        <v>71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5.5</v>
      </c>
      <c r="H40" s="58">
        <f t="shared" si="16"/>
        <v>0.7000000000000002</v>
      </c>
      <c r="I40" s="59">
        <f t="shared" si="4"/>
        <v>0</v>
      </c>
      <c r="J40" s="59">
        <f t="shared" si="5"/>
        <v>0</v>
      </c>
      <c r="K40" s="58">
        <f>SUM(K41:K42)</f>
        <v>-1.6</v>
      </c>
      <c r="L40" s="59">
        <f t="shared" si="1"/>
        <v>0</v>
      </c>
      <c r="M40" s="58">
        <f>SUM(M41:M42)</f>
        <v>-4.8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45">
        <v>5.5</v>
      </c>
      <c r="H41" s="61">
        <f>G41+M41</f>
        <v>0.7000000000000002</v>
      </c>
      <c r="I41" s="62">
        <f t="shared" si="4"/>
        <v>0</v>
      </c>
      <c r="J41" s="62">
        <f t="shared" si="5"/>
        <v>0</v>
      </c>
      <c r="K41" s="145">
        <v>-1.6</v>
      </c>
      <c r="L41" s="62">
        <f t="shared" si="1"/>
        <v>0</v>
      </c>
      <c r="M41" s="145">
        <v>-4.8</v>
      </c>
      <c r="N41" s="145">
        <v>0</v>
      </c>
      <c r="O41" s="62">
        <f t="shared" si="2"/>
        <v>0</v>
      </c>
      <c r="P41" s="61"/>
      <c r="Q41" s="61"/>
      <c r="R41" s="61"/>
    </row>
    <row r="42" spans="1:18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45"/>
      <c r="H42" s="61">
        <f>G42+M42</f>
        <v>0</v>
      </c>
      <c r="I42" s="62">
        <f t="shared" si="4"/>
        <v>0</v>
      </c>
      <c r="J42" s="62">
        <f t="shared" si="5"/>
        <v>0</v>
      </c>
      <c r="K42" s="145"/>
      <c r="L42" s="62">
        <f t="shared" si="1"/>
        <v>0</v>
      </c>
      <c r="M42" s="145"/>
      <c r="N42" s="145"/>
      <c r="O42" s="62">
        <f t="shared" si="2"/>
        <v>0</v>
      </c>
      <c r="P42" s="61"/>
      <c r="Q42" s="61"/>
      <c r="R42" s="61"/>
    </row>
    <row r="43" spans="1:18" ht="18.75" customHeight="1">
      <c r="A43" s="43" t="s">
        <v>91</v>
      </c>
      <c r="B43" s="43">
        <v>1000000000</v>
      </c>
      <c r="C43" s="64">
        <f aca="true" t="shared" si="17" ref="C43:H43">C4+C24</f>
        <v>64478.2</v>
      </c>
      <c r="D43" s="64">
        <f t="shared" si="17"/>
        <v>4475.9</v>
      </c>
      <c r="E43" s="64">
        <f t="shared" si="17"/>
        <v>68954.1</v>
      </c>
      <c r="F43" s="56">
        <f t="shared" si="17"/>
        <v>36238.6</v>
      </c>
      <c r="G43" s="56">
        <f>G4+G24</f>
        <v>35568.6</v>
      </c>
      <c r="H43" s="123">
        <f t="shared" si="17"/>
        <v>39730.600000000006</v>
      </c>
      <c r="I43" s="57">
        <f t="shared" si="4"/>
        <v>0.5761890881035355</v>
      </c>
      <c r="J43" s="57">
        <f t="shared" si="5"/>
        <v>1.0963613384623028</v>
      </c>
      <c r="K43" s="56">
        <f>K4+K24</f>
        <v>35929.2</v>
      </c>
      <c r="L43" s="57">
        <f t="shared" si="1"/>
        <v>1.105802522739165</v>
      </c>
      <c r="M43" s="56">
        <f>M4+M24</f>
        <v>4162</v>
      </c>
      <c r="N43" s="56">
        <f>N4+N24</f>
        <v>5298.4</v>
      </c>
      <c r="O43" s="57">
        <f t="shared" si="2"/>
        <v>0.785520157028537</v>
      </c>
      <c r="P43" s="56">
        <f>P4+P24</f>
        <v>998.6999999999999</v>
      </c>
      <c r="Q43" s="56">
        <f>Q4+Q24</f>
        <v>1585</v>
      </c>
      <c r="R43" s="56">
        <f>R4+R24</f>
        <v>1501</v>
      </c>
    </row>
    <row r="44" spans="1:18" ht="18.75" customHeight="1">
      <c r="A44" s="43" t="s">
        <v>93</v>
      </c>
      <c r="B44" s="43"/>
      <c r="C44" s="64">
        <f>C43-C10</f>
        <v>58045.799999999996</v>
      </c>
      <c r="D44" s="64">
        <f>D43-D10</f>
        <v>4475.9</v>
      </c>
      <c r="E44" s="64">
        <f>C44+D44</f>
        <v>62521.7</v>
      </c>
      <c r="F44" s="56">
        <f>F43-F10-1728.4-1750</f>
        <v>27995.199999999997</v>
      </c>
      <c r="G44" s="56">
        <f>G43-G10-3238.8</f>
        <v>29684.3</v>
      </c>
      <c r="H44" s="123">
        <f>G44+M44</f>
        <v>33011.1</v>
      </c>
      <c r="I44" s="57">
        <f>IF(E44&gt;0,H44/E44,0)</f>
        <v>0.5279942803858501</v>
      </c>
      <c r="J44" s="57">
        <f>IF(F44&gt;0,H44/F44,0)</f>
        <v>1.1791700005715267</v>
      </c>
      <c r="K44" s="56">
        <f>K43-K10-4940.4</f>
        <v>27967.499999999993</v>
      </c>
      <c r="L44" s="57">
        <f t="shared" si="1"/>
        <v>1.1803378921962995</v>
      </c>
      <c r="M44" s="56">
        <f>M43-M10-291.1</f>
        <v>3326.8</v>
      </c>
      <c r="N44" s="56">
        <f>N43-N10-490.4</f>
        <v>4305</v>
      </c>
      <c r="O44" s="57">
        <f t="shared" si="2"/>
        <v>0.7727758420441347</v>
      </c>
      <c r="P44" s="56"/>
      <c r="Q44" s="56"/>
      <c r="R44" s="56"/>
    </row>
    <row r="45" spans="1:18" ht="18.75">
      <c r="A45" s="8" t="s">
        <v>37</v>
      </c>
      <c r="B45" s="8">
        <v>2000000000</v>
      </c>
      <c r="C45" s="60">
        <v>158603.98</v>
      </c>
      <c r="D45" s="137">
        <f>20688+483.84</f>
        <v>21171.84</v>
      </c>
      <c r="E45" s="61">
        <f>C45+D45</f>
        <v>179775.82</v>
      </c>
      <c r="F45" s="61">
        <f>34850.65+571.1+470.1+38803.34</f>
        <v>74695.19</v>
      </c>
      <c r="G45" s="61">
        <v>78998</v>
      </c>
      <c r="H45" s="61">
        <f>G45+M45</f>
        <v>90803.2</v>
      </c>
      <c r="I45" s="62">
        <f t="shared" si="4"/>
        <v>0.505091285357508</v>
      </c>
      <c r="J45" s="62">
        <f t="shared" si="5"/>
        <v>1.2156498965997675</v>
      </c>
      <c r="K45" s="61">
        <v>92913.1</v>
      </c>
      <c r="L45" s="62">
        <f t="shared" si="1"/>
        <v>0.977291684380351</v>
      </c>
      <c r="M45" s="61">
        <v>11805.2</v>
      </c>
      <c r="N45" s="61">
        <v>19881</v>
      </c>
      <c r="O45" s="62">
        <f t="shared" si="2"/>
        <v>0.5937930687591167</v>
      </c>
      <c r="P45" s="61"/>
      <c r="Q45" s="61"/>
      <c r="R45" s="61"/>
    </row>
    <row r="46" spans="1:18" ht="18.75">
      <c r="A46" s="8" t="s">
        <v>48</v>
      </c>
      <c r="B46" s="46" t="s">
        <v>38</v>
      </c>
      <c r="C46" s="60">
        <v>300</v>
      </c>
      <c r="D46" s="61">
        <f>570+280+48</f>
        <v>898</v>
      </c>
      <c r="E46" s="61">
        <f>C46+D46</f>
        <v>1198</v>
      </c>
      <c r="F46" s="61"/>
      <c r="G46" s="61">
        <v>1194.2</v>
      </c>
      <c r="H46" s="61">
        <f>G46+M46</f>
        <v>1199.3</v>
      </c>
      <c r="I46" s="62">
        <f t="shared" si="4"/>
        <v>1.0010851419031719</v>
      </c>
      <c r="J46" s="62">
        <f t="shared" si="5"/>
        <v>0</v>
      </c>
      <c r="K46" s="61">
        <v>778.5</v>
      </c>
      <c r="L46" s="62">
        <f t="shared" si="1"/>
        <v>1.5405266538214515</v>
      </c>
      <c r="M46" s="61">
        <v>5.1</v>
      </c>
      <c r="N46" s="61">
        <v>1.2</v>
      </c>
      <c r="O46" s="62">
        <f t="shared" si="2"/>
        <v>4.25</v>
      </c>
      <c r="P46" s="61"/>
      <c r="Q46" s="61"/>
      <c r="R46" s="61"/>
    </row>
    <row r="47" spans="1:18" ht="18.75">
      <c r="A47" s="8" t="s">
        <v>111</v>
      </c>
      <c r="B47" s="46" t="s">
        <v>112</v>
      </c>
      <c r="C47" s="60"/>
      <c r="D47" s="61"/>
      <c r="E47" s="61"/>
      <c r="F47" s="61"/>
      <c r="G47" s="61"/>
      <c r="H47" s="61">
        <f>G47+M47</f>
        <v>0</v>
      </c>
      <c r="I47" s="62"/>
      <c r="J47" s="62"/>
      <c r="K47" s="61">
        <v>657.5</v>
      </c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95</v>
      </c>
      <c r="B48" s="46" t="s">
        <v>113</v>
      </c>
      <c r="C48" s="60"/>
      <c r="D48" s="61"/>
      <c r="E48" s="61"/>
      <c r="F48" s="61"/>
      <c r="G48" s="61">
        <v>-336.2</v>
      </c>
      <c r="H48" s="61">
        <f>G48+M48</f>
        <v>-393.3</v>
      </c>
      <c r="I48" s="62"/>
      <c r="J48" s="62"/>
      <c r="K48" s="61">
        <v>-836.2</v>
      </c>
      <c r="L48" s="62">
        <f t="shared" si="1"/>
        <v>0</v>
      </c>
      <c r="M48" s="61">
        <v>-57.1</v>
      </c>
      <c r="N48" s="61">
        <v>-81.2</v>
      </c>
      <c r="O48" s="62">
        <f t="shared" si="2"/>
        <v>0</v>
      </c>
      <c r="P48" s="61"/>
      <c r="Q48" s="61"/>
      <c r="R48" s="61"/>
    </row>
    <row r="49" spans="1:18" ht="18.75">
      <c r="A49" s="43" t="s">
        <v>2</v>
      </c>
      <c r="B49" s="43">
        <v>0</v>
      </c>
      <c r="C49" s="65">
        <f>C43+C45+C46</f>
        <v>223382.18</v>
      </c>
      <c r="D49" s="65">
        <f>D43+D45+D46</f>
        <v>26545.739999999998</v>
      </c>
      <c r="E49" s="64">
        <f>E43+E45+E46</f>
        <v>249927.92</v>
      </c>
      <c r="F49" s="123">
        <f>F43+F45+F46</f>
        <v>110933.79000000001</v>
      </c>
      <c r="G49" s="123">
        <f>G43+G45+G46+G47+G48</f>
        <v>115424.6</v>
      </c>
      <c r="H49" s="123">
        <f>H43+H45+H46+H48+H47</f>
        <v>131339.80000000002</v>
      </c>
      <c r="I49" s="57">
        <f t="shared" si="4"/>
        <v>0.5255107152494207</v>
      </c>
      <c r="J49" s="57">
        <f t="shared" si="5"/>
        <v>1.1839476502155024</v>
      </c>
      <c r="K49" s="123">
        <f>K43+K45+K46+K48+K47</f>
        <v>129442.1</v>
      </c>
      <c r="L49" s="57">
        <f t="shared" si="1"/>
        <v>1.0146606088745471</v>
      </c>
      <c r="M49" s="123">
        <f>M43+M45+M46+M48+M47</f>
        <v>15915.2</v>
      </c>
      <c r="N49" s="123">
        <f>N43+N45+N46+N48+N47</f>
        <v>25099.4</v>
      </c>
      <c r="O49" s="57">
        <f t="shared" si="2"/>
        <v>0.6340868706024845</v>
      </c>
      <c r="P49" s="56">
        <f>P43+P45+P46</f>
        <v>998.6999999999999</v>
      </c>
      <c r="Q49" s="56">
        <f>Q43+Q45+Q46</f>
        <v>1585</v>
      </c>
      <c r="R49" s="56">
        <f>R43+R45+R46</f>
        <v>1501</v>
      </c>
    </row>
    <row r="50" spans="1:3" ht="19.5" customHeight="1">
      <c r="A50" s="3"/>
      <c r="B50" s="3"/>
      <c r="C50" s="3"/>
    </row>
    <row r="51" spans="1:7" ht="20.25">
      <c r="A51" s="3"/>
      <c r="B51" s="3"/>
      <c r="C51" s="3"/>
      <c r="E51" s="147"/>
      <c r="G51" s="138"/>
    </row>
    <row r="52" spans="1:3" ht="12.75">
      <c r="A52" s="3"/>
      <c r="B52" s="3"/>
      <c r="C52" s="3"/>
    </row>
    <row r="53" spans="1:8" ht="12.75">
      <c r="A53" s="3"/>
      <c r="B53" s="3"/>
      <c r="C53" s="3"/>
      <c r="H53" s="147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:C31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0.87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0"/>
      <c r="P1" s="26"/>
      <c r="Q1" s="26"/>
      <c r="R1" s="26"/>
    </row>
    <row r="2" spans="1:18" ht="15.75">
      <c r="A2" s="26"/>
      <c r="B2" s="171" t="s">
        <v>125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3.5" customHeight="1" thickBot="1">
      <c r="A3" s="166" t="s">
        <v>3</v>
      </c>
      <c r="B3" s="168" t="s">
        <v>4</v>
      </c>
      <c r="C3" s="165" t="s">
        <v>114</v>
      </c>
      <c r="D3" s="165" t="s">
        <v>24</v>
      </c>
      <c r="E3" s="165" t="s">
        <v>115</v>
      </c>
      <c r="F3" s="165" t="s">
        <v>101</v>
      </c>
      <c r="G3" s="165" t="s">
        <v>118</v>
      </c>
      <c r="H3" s="165" t="s">
        <v>116</v>
      </c>
      <c r="I3" s="165"/>
      <c r="J3" s="165"/>
      <c r="K3" s="165" t="s">
        <v>108</v>
      </c>
      <c r="L3" s="165"/>
      <c r="M3" s="165" t="s">
        <v>121</v>
      </c>
      <c r="N3" s="165" t="s">
        <v>122</v>
      </c>
      <c r="O3" s="165" t="s">
        <v>30</v>
      </c>
      <c r="P3" s="165" t="s">
        <v>9</v>
      </c>
      <c r="Q3" s="165"/>
      <c r="R3" s="165"/>
    </row>
    <row r="4" spans="1:21" ht="111" customHeight="1" thickBot="1">
      <c r="A4" s="167"/>
      <c r="B4" s="169"/>
      <c r="C4" s="165"/>
      <c r="D4" s="165"/>
      <c r="E4" s="165"/>
      <c r="F4" s="165"/>
      <c r="G4" s="165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5"/>
      <c r="N4" s="165"/>
      <c r="O4" s="165"/>
      <c r="P4" s="124" t="s">
        <v>117</v>
      </c>
      <c r="Q4" s="124" t="s">
        <v>119</v>
      </c>
      <c r="R4" s="124" t="s">
        <v>124</v>
      </c>
      <c r="S4" s="1"/>
      <c r="T4" s="1"/>
      <c r="U4" s="2"/>
    </row>
    <row r="5" spans="1:21" ht="21.75" customHeight="1">
      <c r="A5" s="51" t="s">
        <v>21</v>
      </c>
      <c r="B5" s="52"/>
      <c r="C5" s="91">
        <f aca="true" t="shared" si="0" ref="C5:H5">C6+C15+C17+C22+C10</f>
        <v>6736.780000000001</v>
      </c>
      <c r="D5" s="91">
        <f t="shared" si="0"/>
        <v>0</v>
      </c>
      <c r="E5" s="91">
        <f t="shared" si="0"/>
        <v>6736.780000000001</v>
      </c>
      <c r="F5" s="91">
        <f t="shared" si="0"/>
        <v>0</v>
      </c>
      <c r="G5" s="91">
        <f t="shared" si="0"/>
        <v>2525.2</v>
      </c>
      <c r="H5" s="91">
        <f t="shared" si="0"/>
        <v>2997.7</v>
      </c>
      <c r="I5" s="92">
        <f>IF(E5&gt;0,H5/E5,0)</f>
        <v>0.4449751958650868</v>
      </c>
      <c r="J5" s="92">
        <f>IF(F5&gt;0,H5/F5,0)</f>
        <v>0</v>
      </c>
      <c r="K5" s="91">
        <f>K6+K15+K17+K22+K10</f>
        <v>2784.3</v>
      </c>
      <c r="L5" s="92">
        <f aca="true" t="shared" si="1" ref="L5:L45">IF(K5&gt;0,H5/K5,0)</f>
        <v>1.0766440397945622</v>
      </c>
      <c r="M5" s="91">
        <f>M6+M15+M17+M22+M10</f>
        <v>472.50000000000006</v>
      </c>
      <c r="N5" s="91">
        <f>N6+N15+N17+N22+N10</f>
        <v>480.5</v>
      </c>
      <c r="O5" s="92">
        <f aca="true" t="shared" si="2" ref="O5:O21">IF(N5&gt;0,M5/N5,0)</f>
        <v>0.9833506763787723</v>
      </c>
      <c r="P5" s="91">
        <f>P6+P15+P17+P22+P10</f>
        <v>2038.5000000000002</v>
      </c>
      <c r="Q5" s="91">
        <f>Q6+Q15+Q17+Q22+Q10</f>
        <v>843.6</v>
      </c>
      <c r="R5" s="91">
        <f>R6+R15+R17+R22+R10</f>
        <v>860.2</v>
      </c>
      <c r="S5" s="4"/>
      <c r="T5" s="4"/>
      <c r="U5" s="4"/>
    </row>
    <row r="6" spans="1:18" ht="18" customHeight="1">
      <c r="A6" s="9" t="s">
        <v>65</v>
      </c>
      <c r="B6" s="53">
        <v>1010200001</v>
      </c>
      <c r="C6" s="74">
        <f aca="true" t="shared" si="3" ref="C6:H6">C7+C8+C9</f>
        <v>4041.7000000000003</v>
      </c>
      <c r="D6" s="74">
        <f t="shared" si="3"/>
        <v>0</v>
      </c>
      <c r="E6" s="74">
        <f t="shared" si="3"/>
        <v>4041.7000000000003</v>
      </c>
      <c r="F6" s="74">
        <f t="shared" si="3"/>
        <v>0</v>
      </c>
      <c r="G6" s="74">
        <f t="shared" si="3"/>
        <v>1785.2</v>
      </c>
      <c r="H6" s="74">
        <f t="shared" si="3"/>
        <v>2160.9</v>
      </c>
      <c r="I6" s="89">
        <f aca="true" t="shared" si="4" ref="I6:I45">IF(E6&gt;0,H6/E6,0)</f>
        <v>0.5346512606081599</v>
      </c>
      <c r="J6" s="89">
        <f>IF(F6&gt;0,H6/F6,0)</f>
        <v>0</v>
      </c>
      <c r="K6" s="74">
        <f>K7+K8+K9</f>
        <v>1923.1000000000001</v>
      </c>
      <c r="L6" s="89">
        <f t="shared" si="1"/>
        <v>1.1236545161458062</v>
      </c>
      <c r="M6" s="74">
        <f>M7+M8+M9</f>
        <v>375.70000000000005</v>
      </c>
      <c r="N6" s="74">
        <f>N7+N8+N9</f>
        <v>362.5</v>
      </c>
      <c r="O6" s="89">
        <f t="shared" si="2"/>
        <v>1.0364137931034485</v>
      </c>
      <c r="P6" s="74">
        <f>P7+P8+P9</f>
        <v>17.8</v>
      </c>
      <c r="Q6" s="74">
        <f>Q7+Q8+Q9</f>
        <v>14</v>
      </c>
      <c r="R6" s="74">
        <f>R7+R8+R9</f>
        <v>21</v>
      </c>
    </row>
    <row r="7" spans="1:18" ht="18">
      <c r="A7" s="10" t="s">
        <v>46</v>
      </c>
      <c r="B7" s="13">
        <v>1010201001</v>
      </c>
      <c r="C7" s="73">
        <v>4019.4</v>
      </c>
      <c r="D7" s="70"/>
      <c r="E7" s="73">
        <f>C7+D7</f>
        <v>4019.4</v>
      </c>
      <c r="F7" s="73"/>
      <c r="G7" s="70">
        <v>1777.9</v>
      </c>
      <c r="H7" s="70">
        <f>G7+M7</f>
        <v>2151</v>
      </c>
      <c r="I7" s="79">
        <f t="shared" si="4"/>
        <v>0.5351545006717421</v>
      </c>
      <c r="J7" s="79">
        <f aca="true" t="shared" si="5" ref="J7:J45">IF(F7&gt;0,H7/F7,0)</f>
        <v>0</v>
      </c>
      <c r="K7" s="70">
        <v>1894</v>
      </c>
      <c r="L7" s="79">
        <f t="shared" si="1"/>
        <v>1.1356916578669483</v>
      </c>
      <c r="M7" s="70">
        <v>373.1</v>
      </c>
      <c r="N7" s="70">
        <v>338.9</v>
      </c>
      <c r="O7" s="79">
        <f t="shared" si="2"/>
        <v>1.1009147241074064</v>
      </c>
      <c r="P7" s="73">
        <v>15.8</v>
      </c>
      <c r="Q7" s="73">
        <v>13.7</v>
      </c>
      <c r="R7" s="73">
        <v>20.7</v>
      </c>
    </row>
    <row r="8" spans="1:18" ht="18">
      <c r="A8" s="10" t="s">
        <v>45</v>
      </c>
      <c r="B8" s="13">
        <v>1010202001</v>
      </c>
      <c r="C8" s="73">
        <v>17.5</v>
      </c>
      <c r="D8" s="70"/>
      <c r="E8" s="73">
        <f>C8+D8</f>
        <v>17.5</v>
      </c>
      <c r="F8" s="73"/>
      <c r="G8" s="73">
        <v>0.3</v>
      </c>
      <c r="H8" s="70">
        <f>G8+M8</f>
        <v>2.9</v>
      </c>
      <c r="I8" s="79">
        <f t="shared" si="4"/>
        <v>0.1657142857142857</v>
      </c>
      <c r="J8" s="79">
        <f t="shared" si="5"/>
        <v>0</v>
      </c>
      <c r="K8" s="73">
        <v>7.4</v>
      </c>
      <c r="L8" s="79">
        <f t="shared" si="1"/>
        <v>0.3918918918918919</v>
      </c>
      <c r="M8" s="73">
        <v>2.6</v>
      </c>
      <c r="N8" s="73">
        <v>6.5</v>
      </c>
      <c r="O8" s="79">
        <f>IF(N8&gt;0,M8/N8,0)</f>
        <v>0.4</v>
      </c>
      <c r="P8" s="73">
        <v>1.7</v>
      </c>
      <c r="Q8" s="73"/>
      <c r="R8" s="73"/>
    </row>
    <row r="9" spans="1:18" ht="18">
      <c r="A9" s="10" t="s">
        <v>43</v>
      </c>
      <c r="B9" s="13">
        <v>1010203001</v>
      </c>
      <c r="C9" s="73">
        <v>4.8</v>
      </c>
      <c r="D9" s="73"/>
      <c r="E9" s="73">
        <f>C9+D9</f>
        <v>4.8</v>
      </c>
      <c r="F9" s="73"/>
      <c r="G9" s="73">
        <v>7</v>
      </c>
      <c r="H9" s="70">
        <f>G9+M9</f>
        <v>7</v>
      </c>
      <c r="I9" s="79">
        <f t="shared" si="4"/>
        <v>1.4583333333333335</v>
      </c>
      <c r="J9" s="79">
        <f t="shared" si="5"/>
        <v>0</v>
      </c>
      <c r="K9" s="73">
        <v>21.7</v>
      </c>
      <c r="L9" s="79">
        <f t="shared" si="1"/>
        <v>0.3225806451612903</v>
      </c>
      <c r="M9" s="73"/>
      <c r="N9" s="73">
        <v>17.1</v>
      </c>
      <c r="O9" s="79">
        <f t="shared" si="2"/>
        <v>0</v>
      </c>
      <c r="P9" s="73">
        <v>0.3</v>
      </c>
      <c r="Q9" s="73">
        <v>0.3</v>
      </c>
      <c r="R9" s="73">
        <v>0.3</v>
      </c>
    </row>
    <row r="10" spans="1:22" ht="20.25" customHeight="1">
      <c r="A10" s="11" t="s">
        <v>50</v>
      </c>
      <c r="B10" s="19">
        <v>1030200001</v>
      </c>
      <c r="C10" s="74">
        <f aca="true" t="shared" si="6" ref="C10:H10">SUM(C11:C14)</f>
        <v>1127.08</v>
      </c>
      <c r="D10" s="74">
        <f t="shared" si="6"/>
        <v>0</v>
      </c>
      <c r="E10" s="74">
        <f t="shared" si="6"/>
        <v>1127.08</v>
      </c>
      <c r="F10" s="74">
        <f t="shared" si="6"/>
        <v>0</v>
      </c>
      <c r="G10" s="74">
        <f>SUM(G11:G14)</f>
        <v>463</v>
      </c>
      <c r="H10" s="74">
        <f t="shared" si="6"/>
        <v>558.2</v>
      </c>
      <c r="I10" s="89">
        <f>IF(E10&gt;0,H10/E10,0)</f>
        <v>0.4952620931965788</v>
      </c>
      <c r="J10" s="89">
        <f>IF(F10&gt;0,H10/F10,0)</f>
        <v>0</v>
      </c>
      <c r="K10" s="74">
        <f>SUM(K11:K14)</f>
        <v>529.6</v>
      </c>
      <c r="L10" s="89">
        <f t="shared" si="1"/>
        <v>1.0540030211480362</v>
      </c>
      <c r="M10" s="74">
        <f>SUM(M11:M14)</f>
        <v>95.19999999999999</v>
      </c>
      <c r="N10" s="74">
        <f>SUM(N11:N14)</f>
        <v>88.10000000000001</v>
      </c>
      <c r="O10" s="89">
        <f t="shared" si="2"/>
        <v>1.0805902383654935</v>
      </c>
      <c r="P10" s="74">
        <f>SUM(P11:P14)</f>
        <v>0</v>
      </c>
      <c r="Q10" s="74">
        <f>SUM(Q11:Q14)</f>
        <v>0</v>
      </c>
      <c r="R10" s="74">
        <f>SUM(R11:R14)</f>
        <v>0</v>
      </c>
      <c r="V10">
        <v>1057</v>
      </c>
    </row>
    <row r="11" spans="1:18" ht="18.75" customHeight="1">
      <c r="A11" s="12" t="s">
        <v>51</v>
      </c>
      <c r="B11" s="12">
        <v>1030223001</v>
      </c>
      <c r="C11" s="73">
        <v>396.45</v>
      </c>
      <c r="D11" s="73"/>
      <c r="E11" s="69">
        <f>C11+D11</f>
        <v>396.45</v>
      </c>
      <c r="F11" s="69"/>
      <c r="G11" s="73">
        <v>199.9</v>
      </c>
      <c r="H11" s="71">
        <f>G11+M11</f>
        <v>241.9</v>
      </c>
      <c r="I11" s="72">
        <f>IF(E11&gt;0,H11/E11,0)</f>
        <v>0.6101652162946147</v>
      </c>
      <c r="J11" s="72">
        <f>IF(F11&gt;0,H11/F11,0)</f>
        <v>0</v>
      </c>
      <c r="K11" s="73">
        <v>209.1</v>
      </c>
      <c r="L11" s="72">
        <f t="shared" si="1"/>
        <v>1.1568627450980393</v>
      </c>
      <c r="M11" s="73">
        <v>42</v>
      </c>
      <c r="N11" s="73">
        <v>35.9</v>
      </c>
      <c r="O11" s="72">
        <f t="shared" si="2"/>
        <v>1.16991643454039</v>
      </c>
      <c r="P11" s="73"/>
      <c r="Q11" s="73"/>
      <c r="R11" s="73"/>
    </row>
    <row r="12" spans="1:18" ht="18" customHeight="1">
      <c r="A12" s="12" t="s">
        <v>52</v>
      </c>
      <c r="B12" s="12">
        <v>1030224001</v>
      </c>
      <c r="C12" s="73">
        <v>3.26</v>
      </c>
      <c r="D12" s="73"/>
      <c r="E12" s="69">
        <f>C12+D12</f>
        <v>3.26</v>
      </c>
      <c r="F12" s="69"/>
      <c r="G12" s="73">
        <v>1.5</v>
      </c>
      <c r="H12" s="71">
        <f>G12+M12</f>
        <v>1.9</v>
      </c>
      <c r="I12" s="72">
        <f>IF(E12&gt;0,H12/E12,0)</f>
        <v>0.5828220858895705</v>
      </c>
      <c r="J12" s="72">
        <f>IF(F12&gt;0,H12/F12,0)</f>
        <v>0</v>
      </c>
      <c r="K12" s="73">
        <v>2.3</v>
      </c>
      <c r="L12" s="72">
        <f t="shared" si="1"/>
        <v>0.8260869565217391</v>
      </c>
      <c r="M12" s="73">
        <v>0.4</v>
      </c>
      <c r="N12" s="73">
        <v>0.4</v>
      </c>
      <c r="O12" s="72">
        <f t="shared" si="2"/>
        <v>1</v>
      </c>
      <c r="P12" s="73"/>
      <c r="Q12" s="73"/>
      <c r="R12" s="73"/>
    </row>
    <row r="13" spans="1:18" ht="18.75" customHeight="1">
      <c r="A13" s="12" t="s">
        <v>53</v>
      </c>
      <c r="B13" s="12">
        <v>1030225001</v>
      </c>
      <c r="C13" s="73">
        <v>801.56</v>
      </c>
      <c r="D13" s="73"/>
      <c r="E13" s="69">
        <f>C13+D13</f>
        <v>801.56</v>
      </c>
      <c r="F13" s="69"/>
      <c r="G13" s="73">
        <v>303</v>
      </c>
      <c r="H13" s="71">
        <f>G13+M13</f>
        <v>364.7</v>
      </c>
      <c r="I13" s="72">
        <f>IF(E13&gt;0,H13/E13,0)</f>
        <v>0.45498777384101</v>
      </c>
      <c r="J13" s="72">
        <f>IF(F13&gt;0,H13/F13,0)</f>
        <v>0</v>
      </c>
      <c r="K13" s="73">
        <v>360.6</v>
      </c>
      <c r="L13" s="72">
        <f t="shared" si="1"/>
        <v>1.0113699389905713</v>
      </c>
      <c r="M13" s="73">
        <v>61.7</v>
      </c>
      <c r="N13" s="73">
        <v>61.1</v>
      </c>
      <c r="O13" s="72">
        <f t="shared" si="2"/>
        <v>1.0098199672667758</v>
      </c>
      <c r="P13" s="73"/>
      <c r="Q13" s="73"/>
      <c r="R13" s="73"/>
    </row>
    <row r="14" spans="1:18" ht="18" customHeight="1">
      <c r="A14" s="12" t="s">
        <v>54</v>
      </c>
      <c r="B14" s="12">
        <v>1030226001</v>
      </c>
      <c r="C14" s="73">
        <v>-74.19</v>
      </c>
      <c r="D14" s="73"/>
      <c r="E14" s="69">
        <f>C14+D14</f>
        <v>-74.19</v>
      </c>
      <c r="F14" s="69"/>
      <c r="G14" s="73">
        <v>-41.4</v>
      </c>
      <c r="H14" s="71">
        <f>G14+M14</f>
        <v>-50.3</v>
      </c>
      <c r="I14" s="72">
        <f>H14/E14</f>
        <v>0.6779889472974794</v>
      </c>
      <c r="J14" s="72">
        <f>IF(F14&gt;0,H14/F14,0)</f>
        <v>0</v>
      </c>
      <c r="K14" s="73">
        <v>-42.4</v>
      </c>
      <c r="L14" s="72">
        <f t="shared" si="1"/>
        <v>0</v>
      </c>
      <c r="M14" s="73">
        <v>-8.9</v>
      </c>
      <c r="N14" s="73">
        <v>-9.3</v>
      </c>
      <c r="O14" s="72">
        <f t="shared" si="2"/>
        <v>0</v>
      </c>
      <c r="P14" s="73"/>
      <c r="Q14" s="73"/>
      <c r="R14" s="73"/>
    </row>
    <row r="15" spans="1:18" ht="18">
      <c r="A15" s="9" t="s">
        <v>72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0.5</v>
      </c>
      <c r="H15" s="75">
        <f t="shared" si="7"/>
        <v>0.5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5"/>
      <c r="E16" s="69">
        <f>C16+D16</f>
        <v>0</v>
      </c>
      <c r="F16" s="69"/>
      <c r="G16" s="73">
        <v>0.5</v>
      </c>
      <c r="H16" s="71">
        <f>G16+M16</f>
        <v>0.5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73</v>
      </c>
      <c r="B17" s="30">
        <v>1060000000</v>
      </c>
      <c r="C17" s="74">
        <f aca="true" t="shared" si="8" ref="C17:H17">C18+C21</f>
        <v>1568</v>
      </c>
      <c r="D17" s="75">
        <f t="shared" si="8"/>
        <v>0</v>
      </c>
      <c r="E17" s="131">
        <f t="shared" si="8"/>
        <v>1568</v>
      </c>
      <c r="F17" s="75">
        <f t="shared" si="8"/>
        <v>0</v>
      </c>
      <c r="G17" s="75">
        <f>G18+G21</f>
        <v>276.5</v>
      </c>
      <c r="H17" s="75">
        <f t="shared" si="8"/>
        <v>278.1</v>
      </c>
      <c r="I17" s="68">
        <f t="shared" si="4"/>
        <v>0.17735969387755104</v>
      </c>
      <c r="J17" s="68">
        <f t="shared" si="5"/>
        <v>0</v>
      </c>
      <c r="K17" s="75">
        <f>K18+K21</f>
        <v>331.6</v>
      </c>
      <c r="L17" s="68">
        <f t="shared" si="1"/>
        <v>0.8386610373944512</v>
      </c>
      <c r="M17" s="75">
        <f>M18+M21</f>
        <v>1.6</v>
      </c>
      <c r="N17" s="75">
        <f>N18+N21</f>
        <v>29.9</v>
      </c>
      <c r="O17" s="68">
        <f t="shared" si="2"/>
        <v>0.053511705685618735</v>
      </c>
      <c r="P17" s="74">
        <f>P18+P21</f>
        <v>2020.7000000000003</v>
      </c>
      <c r="Q17" s="74">
        <f>Q18+Q21</f>
        <v>829.6</v>
      </c>
      <c r="R17" s="74">
        <f>R18+R21</f>
        <v>839.2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865</v>
      </c>
      <c r="D18" s="70">
        <f t="shared" si="9"/>
        <v>0</v>
      </c>
      <c r="E18" s="70">
        <f t="shared" si="9"/>
        <v>865</v>
      </c>
      <c r="F18" s="70">
        <f t="shared" si="9"/>
        <v>0</v>
      </c>
      <c r="G18" s="76">
        <f>G19+G20</f>
        <v>261.5</v>
      </c>
      <c r="H18" s="70">
        <f t="shared" si="9"/>
        <v>262.5</v>
      </c>
      <c r="I18" s="72">
        <f t="shared" si="4"/>
        <v>0.30346820809248554</v>
      </c>
      <c r="J18" s="72">
        <f t="shared" si="5"/>
        <v>0</v>
      </c>
      <c r="K18" s="76">
        <f>K19+K20</f>
        <v>279.70000000000005</v>
      </c>
      <c r="L18" s="72">
        <f t="shared" si="1"/>
        <v>0.9385055416517696</v>
      </c>
      <c r="M18" s="76">
        <f>M19+M20</f>
        <v>1</v>
      </c>
      <c r="N18" s="76">
        <f>N19+N20</f>
        <v>23.2</v>
      </c>
      <c r="O18" s="72">
        <f t="shared" si="2"/>
        <v>0.04310344827586207</v>
      </c>
      <c r="P18" s="73">
        <f>P19+P20</f>
        <v>1669.3000000000002</v>
      </c>
      <c r="Q18" s="73">
        <f>Q19+Q20</f>
        <v>617.5</v>
      </c>
      <c r="R18" s="73">
        <f>R19+R20</f>
        <v>617.9000000000001</v>
      </c>
    </row>
    <row r="19" spans="1:18" ht="18">
      <c r="A19" s="13" t="s">
        <v>102</v>
      </c>
      <c r="B19" s="13">
        <v>1060603313</v>
      </c>
      <c r="C19" s="73">
        <v>251</v>
      </c>
      <c r="D19" s="70"/>
      <c r="E19" s="69">
        <f>C19+D19</f>
        <v>251</v>
      </c>
      <c r="F19" s="69"/>
      <c r="G19" s="73">
        <v>210.6</v>
      </c>
      <c r="H19" s="71">
        <f>G19+M19</f>
        <v>211.6</v>
      </c>
      <c r="I19" s="72">
        <f t="shared" si="4"/>
        <v>0.8430278884462151</v>
      </c>
      <c r="J19" s="72">
        <f t="shared" si="5"/>
        <v>0</v>
      </c>
      <c r="K19" s="73">
        <v>158.8</v>
      </c>
      <c r="L19" s="72">
        <f t="shared" si="1"/>
        <v>1.3324937027707808</v>
      </c>
      <c r="M19" s="73">
        <v>1</v>
      </c>
      <c r="N19" s="73">
        <v>0.2</v>
      </c>
      <c r="O19" s="72">
        <f t="shared" si="2"/>
        <v>5</v>
      </c>
      <c r="P19" s="73">
        <v>463.1</v>
      </c>
      <c r="Q19" s="73">
        <v>463.1</v>
      </c>
      <c r="R19" s="73">
        <v>463.1</v>
      </c>
    </row>
    <row r="20" spans="1:18" ht="18">
      <c r="A20" s="13" t="s">
        <v>103</v>
      </c>
      <c r="B20" s="13">
        <v>1060604313</v>
      </c>
      <c r="C20" s="73">
        <v>614</v>
      </c>
      <c r="D20" s="85"/>
      <c r="E20" s="69">
        <f>C20+D20</f>
        <v>614</v>
      </c>
      <c r="F20" s="69"/>
      <c r="G20" s="73">
        <v>50.9</v>
      </c>
      <c r="H20" s="71">
        <f>G20+M20</f>
        <v>50.9</v>
      </c>
      <c r="I20" s="72">
        <f t="shared" si="4"/>
        <v>0.08289902280130293</v>
      </c>
      <c r="J20" s="72">
        <f t="shared" si="5"/>
        <v>0</v>
      </c>
      <c r="K20" s="73">
        <v>120.9</v>
      </c>
      <c r="L20" s="72">
        <f t="shared" si="1"/>
        <v>0.42100909842845324</v>
      </c>
      <c r="M20" s="73"/>
      <c r="N20" s="73">
        <v>23</v>
      </c>
      <c r="O20" s="72">
        <f t="shared" si="2"/>
        <v>0</v>
      </c>
      <c r="P20" s="73">
        <v>1206.2</v>
      </c>
      <c r="Q20" s="73">
        <v>154.4</v>
      </c>
      <c r="R20" s="73">
        <v>154.8</v>
      </c>
    </row>
    <row r="21" spans="1:18" ht="18">
      <c r="A21" s="13" t="s">
        <v>12</v>
      </c>
      <c r="B21" s="13">
        <v>1060103013</v>
      </c>
      <c r="C21" s="73">
        <v>703</v>
      </c>
      <c r="D21" s="70"/>
      <c r="E21" s="69">
        <f>C21+D21</f>
        <v>703</v>
      </c>
      <c r="F21" s="69"/>
      <c r="G21" s="73">
        <v>15</v>
      </c>
      <c r="H21" s="71">
        <f>G21+M21</f>
        <v>15.6</v>
      </c>
      <c r="I21" s="72">
        <f t="shared" si="4"/>
        <v>0.022190611664295874</v>
      </c>
      <c r="J21" s="72">
        <f t="shared" si="5"/>
        <v>0</v>
      </c>
      <c r="K21" s="73">
        <v>51.9</v>
      </c>
      <c r="L21" s="72">
        <f t="shared" si="1"/>
        <v>0.30057803468208094</v>
      </c>
      <c r="M21" s="73">
        <v>0.6</v>
      </c>
      <c r="N21" s="73">
        <v>6.7</v>
      </c>
      <c r="O21" s="72">
        <f t="shared" si="2"/>
        <v>0.08955223880597014</v>
      </c>
      <c r="P21" s="73">
        <v>351.4</v>
      </c>
      <c r="Q21" s="73">
        <v>212.1</v>
      </c>
      <c r="R21" s="73">
        <v>221.3</v>
      </c>
    </row>
    <row r="22" spans="1:18" ht="1.5" customHeight="1">
      <c r="A22" s="9" t="s">
        <v>75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6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C24+C29+C32+C36+C37</f>
        <v>1503</v>
      </c>
      <c r="D23" s="78">
        <f>D24+D29+D32+D36+D37</f>
        <v>0</v>
      </c>
      <c r="E23" s="78">
        <f>E24+E31+E34+E37+E36+E33+E30+E35</f>
        <v>1503</v>
      </c>
      <c r="F23" s="78">
        <f>F24+F31+F34+F37+F36+F33+F30+F35</f>
        <v>0</v>
      </c>
      <c r="G23" s="78">
        <f>G24+G31+G34+G37+G36+G33+G30+G35</f>
        <v>712.8</v>
      </c>
      <c r="H23" s="78">
        <f>H24+H31+H34+H37+H36+H33+H30+H35</f>
        <v>837.9</v>
      </c>
      <c r="I23" s="66">
        <f t="shared" si="4"/>
        <v>0.5574850299401197</v>
      </c>
      <c r="J23" s="66">
        <f t="shared" si="5"/>
        <v>0</v>
      </c>
      <c r="K23" s="78">
        <f>K24+K31+K34+K37+K36+K33+K30+K35</f>
        <v>817</v>
      </c>
      <c r="L23" s="66">
        <f t="shared" si="1"/>
        <v>1.025581395348837</v>
      </c>
      <c r="M23" s="78">
        <f>M24+M29+M32+M36+M37</f>
        <v>125.10000000000001</v>
      </c>
      <c r="N23" s="78">
        <f>N24+N31+N34+N37+N36+N33+N30+N35</f>
        <v>108.29999999999998</v>
      </c>
      <c r="O23" s="66">
        <f t="shared" si="10"/>
        <v>1.1551246537396125</v>
      </c>
      <c r="P23" s="78">
        <f>P24+P31+P34+P37+P36+P33</f>
        <v>246.4</v>
      </c>
      <c r="Q23" s="78">
        <f>Q24+Q31+Q34+Q37+Q36+Q33</f>
        <v>226.5</v>
      </c>
      <c r="R23" s="78">
        <f>R24+R31+R34+R37+R36+R33</f>
        <v>159.6</v>
      </c>
    </row>
    <row r="24" spans="1:18" ht="18">
      <c r="A24" s="9" t="s">
        <v>76</v>
      </c>
      <c r="B24" s="30">
        <v>1110000000</v>
      </c>
      <c r="C24" s="74">
        <f>C25+C27+C28+C26</f>
        <v>1232</v>
      </c>
      <c r="D24" s="131">
        <f>D25+D27+D28+D26</f>
        <v>0</v>
      </c>
      <c r="E24" s="74">
        <f>E25+E27+E28+E26</f>
        <v>1232</v>
      </c>
      <c r="F24" s="74">
        <f>F25+F27+F28</f>
        <v>0</v>
      </c>
      <c r="G24" s="74">
        <f>G25+G27+G28+G26</f>
        <v>395.29999999999995</v>
      </c>
      <c r="H24" s="74">
        <f>H25+H27+H28+H26</f>
        <v>512.2</v>
      </c>
      <c r="I24" s="68">
        <f t="shared" si="4"/>
        <v>0.4157467532467533</v>
      </c>
      <c r="J24" s="68">
        <f t="shared" si="5"/>
        <v>0</v>
      </c>
      <c r="K24" s="74">
        <f>K25+K27+K28+K26</f>
        <v>779.4</v>
      </c>
      <c r="L24" s="68">
        <f t="shared" si="1"/>
        <v>0.6571721837310752</v>
      </c>
      <c r="M24" s="74">
        <f>M25+M27+M28+M26</f>
        <v>116.9</v>
      </c>
      <c r="N24" s="74">
        <f>N25+N27+N28+N26</f>
        <v>108.19999999999999</v>
      </c>
      <c r="O24" s="68">
        <f t="shared" si="10"/>
        <v>1.080406654343808</v>
      </c>
      <c r="P24" s="74">
        <f>P25+P27+P28</f>
        <v>246.4</v>
      </c>
      <c r="Q24" s="74">
        <f>Q25+Q27+Q28</f>
        <v>226.5</v>
      </c>
      <c r="R24" s="74">
        <f>R25+R27+R28</f>
        <v>159.6</v>
      </c>
    </row>
    <row r="25" spans="1:18" ht="18.75">
      <c r="A25" s="54" t="s">
        <v>99</v>
      </c>
      <c r="B25" s="13">
        <v>1110501313</v>
      </c>
      <c r="C25" s="73">
        <v>600</v>
      </c>
      <c r="D25" s="85"/>
      <c r="E25" s="69">
        <f aca="true" t="shared" si="11" ref="E25:E33">C25+D25</f>
        <v>600</v>
      </c>
      <c r="F25" s="69"/>
      <c r="G25" s="73">
        <v>155.2</v>
      </c>
      <c r="H25" s="71">
        <f aca="true" t="shared" si="12" ref="H25:H36">G25+M25</f>
        <v>222</v>
      </c>
      <c r="I25" s="72">
        <f t="shared" si="4"/>
        <v>0.37</v>
      </c>
      <c r="J25" s="72">
        <f t="shared" si="5"/>
        <v>0</v>
      </c>
      <c r="K25" s="73">
        <v>435.6</v>
      </c>
      <c r="L25" s="72">
        <f t="shared" si="1"/>
        <v>0.5096418732782368</v>
      </c>
      <c r="M25" s="73">
        <v>66.8</v>
      </c>
      <c r="N25" s="73">
        <v>55.4</v>
      </c>
      <c r="O25" s="72">
        <f t="shared" si="10"/>
        <v>1.2057761732851986</v>
      </c>
      <c r="P25" s="136">
        <v>246.4</v>
      </c>
      <c r="Q25" s="136">
        <v>226.5</v>
      </c>
      <c r="R25" s="136">
        <v>159.6</v>
      </c>
    </row>
    <row r="26" spans="1:18" ht="18.75">
      <c r="A26" s="13" t="s">
        <v>100</v>
      </c>
      <c r="B26" s="13">
        <v>1110502513</v>
      </c>
      <c r="C26" s="73"/>
      <c r="D26" s="85"/>
      <c r="E26" s="69">
        <f t="shared" si="11"/>
        <v>0</v>
      </c>
      <c r="F26" s="69"/>
      <c r="G26" s="73"/>
      <c r="H26" s="71">
        <f>G26+M26</f>
        <v>0</v>
      </c>
      <c r="I26" s="72">
        <f>IF(E26&gt;0,H26/E26,0)</f>
        <v>0</v>
      </c>
      <c r="J26" s="72"/>
      <c r="K26" s="73">
        <v>11.3</v>
      </c>
      <c r="L26" s="72">
        <f t="shared" si="1"/>
        <v>0</v>
      </c>
      <c r="M26" s="73"/>
      <c r="N26" s="73"/>
      <c r="O26" s="72">
        <f t="shared" si="10"/>
        <v>0</v>
      </c>
      <c r="P26" s="61"/>
      <c r="Q26" s="61"/>
      <c r="R26" s="61"/>
    </row>
    <row r="27" spans="1:18" ht="18">
      <c r="A27" s="13" t="s">
        <v>23</v>
      </c>
      <c r="B27" s="13">
        <v>1110904513</v>
      </c>
      <c r="C27" s="73">
        <v>632</v>
      </c>
      <c r="D27" s="85"/>
      <c r="E27" s="69">
        <f t="shared" si="11"/>
        <v>632</v>
      </c>
      <c r="F27" s="69"/>
      <c r="G27" s="73">
        <v>240.1</v>
      </c>
      <c r="H27" s="71">
        <f t="shared" si="12"/>
        <v>290.2</v>
      </c>
      <c r="I27" s="72">
        <f t="shared" si="4"/>
        <v>0.4591772151898734</v>
      </c>
      <c r="J27" s="72">
        <f t="shared" si="5"/>
        <v>0</v>
      </c>
      <c r="K27" s="73">
        <v>332.5</v>
      </c>
      <c r="L27" s="72">
        <f t="shared" si="1"/>
        <v>0.872781954887218</v>
      </c>
      <c r="M27" s="73">
        <v>50.1</v>
      </c>
      <c r="N27" s="73">
        <v>52.8</v>
      </c>
      <c r="O27" s="72">
        <f t="shared" si="10"/>
        <v>0.9488636363636365</v>
      </c>
      <c r="P27" s="73"/>
      <c r="Q27" s="73"/>
      <c r="R27" s="73"/>
    </row>
    <row r="28" spans="1:18" ht="18.75" customHeight="1" hidden="1">
      <c r="A28" s="31" t="s">
        <v>18</v>
      </c>
      <c r="B28" s="13">
        <v>1110903513</v>
      </c>
      <c r="C28" s="73"/>
      <c r="D28" s="73"/>
      <c r="E28" s="69">
        <f t="shared" si="11"/>
        <v>0</v>
      </c>
      <c r="F28" s="69"/>
      <c r="G28" s="73"/>
      <c r="H28" s="71">
        <f t="shared" si="12"/>
        <v>0</v>
      </c>
      <c r="I28" s="72">
        <f t="shared" si="4"/>
        <v>0</v>
      </c>
      <c r="J28" s="72">
        <f t="shared" si="5"/>
        <v>0</v>
      </c>
      <c r="K28" s="73"/>
      <c r="L28" s="72">
        <f t="shared" si="1"/>
        <v>0</v>
      </c>
      <c r="M28" s="73"/>
      <c r="N28" s="73"/>
      <c r="O28" s="72">
        <f t="shared" si="10"/>
        <v>0</v>
      </c>
      <c r="P28" s="73"/>
      <c r="Q28" s="73"/>
      <c r="R28" s="73"/>
    </row>
    <row r="29" spans="1:18" ht="18.75">
      <c r="A29" s="153" t="s">
        <v>68</v>
      </c>
      <c r="B29" s="155">
        <v>1130000000</v>
      </c>
      <c r="C29" s="140">
        <f>C30+C31</f>
        <v>0</v>
      </c>
      <c r="D29" s="140">
        <f>D30+D31</f>
        <v>0</v>
      </c>
      <c r="E29" s="141">
        <f>C29+D29</f>
        <v>0</v>
      </c>
      <c r="F29" s="141"/>
      <c r="G29" s="140">
        <f>G30+G31</f>
        <v>0</v>
      </c>
      <c r="H29" s="154">
        <f t="shared" si="12"/>
        <v>0</v>
      </c>
      <c r="I29" s="142">
        <f t="shared" si="4"/>
        <v>0</v>
      </c>
      <c r="J29" s="142"/>
      <c r="K29" s="140">
        <f>K30+K31</f>
        <v>11.5</v>
      </c>
      <c r="L29" s="142">
        <f t="shared" si="1"/>
        <v>0</v>
      </c>
      <c r="M29" s="140">
        <f>M30+M31</f>
        <v>0</v>
      </c>
      <c r="N29" s="140">
        <f>N30+N31</f>
        <v>0</v>
      </c>
      <c r="O29" s="142">
        <f t="shared" si="10"/>
        <v>0</v>
      </c>
      <c r="P29" s="140">
        <f>P30+P31</f>
        <v>0</v>
      </c>
      <c r="Q29" s="140">
        <f>Q30+Q31</f>
        <v>0</v>
      </c>
      <c r="R29" s="140">
        <f>R30+R31</f>
        <v>0</v>
      </c>
    </row>
    <row r="30" spans="1:18" ht="18">
      <c r="A30" s="45" t="s">
        <v>105</v>
      </c>
      <c r="B30" s="15">
        <v>1130206513</v>
      </c>
      <c r="C30" s="149"/>
      <c r="D30" s="149"/>
      <c r="E30" s="150">
        <f t="shared" si="11"/>
        <v>0</v>
      </c>
      <c r="F30" s="150"/>
      <c r="G30" s="149"/>
      <c r="H30" s="151">
        <f t="shared" si="12"/>
        <v>0</v>
      </c>
      <c r="I30" s="152">
        <f t="shared" si="4"/>
        <v>0</v>
      </c>
      <c r="J30" s="152"/>
      <c r="K30" s="149"/>
      <c r="L30" s="152">
        <f t="shared" si="1"/>
        <v>0</v>
      </c>
      <c r="M30" s="149"/>
      <c r="N30" s="149"/>
      <c r="O30" s="152">
        <f t="shared" si="10"/>
        <v>0</v>
      </c>
      <c r="P30" s="149"/>
      <c r="Q30" s="149"/>
      <c r="R30" s="149"/>
    </row>
    <row r="31" spans="1:18" ht="18">
      <c r="A31" s="15" t="s">
        <v>39</v>
      </c>
      <c r="B31" s="15">
        <v>1130299513</v>
      </c>
      <c r="C31" s="149"/>
      <c r="D31" s="149"/>
      <c r="E31" s="150">
        <f t="shared" si="11"/>
        <v>0</v>
      </c>
      <c r="F31" s="150"/>
      <c r="G31" s="149"/>
      <c r="H31" s="151">
        <f t="shared" si="12"/>
        <v>0</v>
      </c>
      <c r="I31" s="152">
        <f t="shared" si="4"/>
        <v>0</v>
      </c>
      <c r="J31" s="152">
        <f t="shared" si="5"/>
        <v>0</v>
      </c>
      <c r="K31" s="149">
        <v>11.5</v>
      </c>
      <c r="L31" s="152">
        <f t="shared" si="1"/>
        <v>0</v>
      </c>
      <c r="M31" s="149"/>
      <c r="N31" s="149"/>
      <c r="O31" s="152">
        <f t="shared" si="10"/>
        <v>0</v>
      </c>
      <c r="P31" s="149"/>
      <c r="Q31" s="149"/>
      <c r="R31" s="149"/>
    </row>
    <row r="32" spans="1:18" ht="18.75">
      <c r="A32" s="153" t="s">
        <v>69</v>
      </c>
      <c r="B32" s="155">
        <v>1140000000</v>
      </c>
      <c r="C32" s="158">
        <f>C33+C34+C35</f>
        <v>250</v>
      </c>
      <c r="D32" s="158">
        <f>D33+D34+D35</f>
        <v>0</v>
      </c>
      <c r="E32" s="141">
        <f t="shared" si="11"/>
        <v>250</v>
      </c>
      <c r="F32" s="141"/>
      <c r="G32" s="158">
        <f>G33+G34+G35</f>
        <v>297.4</v>
      </c>
      <c r="H32" s="154">
        <f t="shared" si="12"/>
        <v>297.4</v>
      </c>
      <c r="I32" s="142">
        <f>IF(E32&gt;0,H32/E32,0)</f>
        <v>1.1896</v>
      </c>
      <c r="J32" s="142"/>
      <c r="K32" s="158">
        <f>K33+K34+K35</f>
        <v>21.3</v>
      </c>
      <c r="L32" s="142">
        <f>IF(K32&gt;0,H32/K32,0)</f>
        <v>13.962441314553988</v>
      </c>
      <c r="M32" s="158">
        <f>M33+M34+M35</f>
        <v>0</v>
      </c>
      <c r="N32" s="158">
        <f>N33+N34+N35</f>
        <v>0</v>
      </c>
      <c r="O32" s="142">
        <f t="shared" si="10"/>
        <v>0</v>
      </c>
      <c r="P32" s="158">
        <f>P33+P34+P35</f>
        <v>0</v>
      </c>
      <c r="Q32" s="158">
        <f>Q33+Q34+Q35</f>
        <v>0</v>
      </c>
      <c r="R32" s="158">
        <f>R33+R34+R35</f>
        <v>0</v>
      </c>
    </row>
    <row r="33" spans="1:18" ht="18">
      <c r="A33" s="15" t="s">
        <v>77</v>
      </c>
      <c r="B33" s="15">
        <v>1140205313</v>
      </c>
      <c r="C33" s="149">
        <v>200</v>
      </c>
      <c r="D33" s="149"/>
      <c r="E33" s="150">
        <f t="shared" si="11"/>
        <v>200</v>
      </c>
      <c r="F33" s="150"/>
      <c r="G33" s="149">
        <v>226.5</v>
      </c>
      <c r="H33" s="151">
        <f t="shared" si="12"/>
        <v>226.5</v>
      </c>
      <c r="I33" s="152">
        <f>IF(E33&gt;0,H33/E33,0)</f>
        <v>1.1325</v>
      </c>
      <c r="J33" s="152">
        <f>IF(F33&gt;0,H33/F33,0)</f>
        <v>0</v>
      </c>
      <c r="K33" s="149"/>
      <c r="L33" s="152">
        <f>IF(K33&gt;0,H33/K33,0)</f>
        <v>0</v>
      </c>
      <c r="M33" s="149"/>
      <c r="N33" s="149"/>
      <c r="O33" s="152">
        <f t="shared" si="10"/>
        <v>0</v>
      </c>
      <c r="P33" s="149"/>
      <c r="Q33" s="149"/>
      <c r="R33" s="149"/>
    </row>
    <row r="34" spans="1:18" ht="18">
      <c r="A34" s="15" t="s">
        <v>106</v>
      </c>
      <c r="B34" s="15">
        <v>1140601313</v>
      </c>
      <c r="C34" s="149">
        <v>50</v>
      </c>
      <c r="D34" s="149"/>
      <c r="E34" s="151">
        <f>C34+D34</f>
        <v>50</v>
      </c>
      <c r="F34" s="151"/>
      <c r="G34" s="149">
        <v>9.4</v>
      </c>
      <c r="H34" s="151">
        <f t="shared" si="12"/>
        <v>9.4</v>
      </c>
      <c r="I34" s="152">
        <f t="shared" si="4"/>
        <v>0.188</v>
      </c>
      <c r="J34" s="152">
        <f t="shared" si="5"/>
        <v>0</v>
      </c>
      <c r="K34" s="149">
        <v>21.3</v>
      </c>
      <c r="L34" s="152">
        <f t="shared" si="1"/>
        <v>0.4413145539906103</v>
      </c>
      <c r="M34" s="149"/>
      <c r="N34" s="149"/>
      <c r="O34" s="152">
        <f t="shared" si="10"/>
        <v>0</v>
      </c>
      <c r="P34" s="149"/>
      <c r="Q34" s="149"/>
      <c r="R34" s="149"/>
    </row>
    <row r="35" spans="1:18" ht="18">
      <c r="A35" s="15" t="s">
        <v>107</v>
      </c>
      <c r="B35" s="157">
        <v>1140602513</v>
      </c>
      <c r="C35" s="156"/>
      <c r="D35" s="149"/>
      <c r="E35" s="151">
        <f>C35+D35</f>
        <v>0</v>
      </c>
      <c r="F35" s="151"/>
      <c r="G35" s="149">
        <v>61.5</v>
      </c>
      <c r="H35" s="151">
        <f t="shared" si="12"/>
        <v>61.5</v>
      </c>
      <c r="I35" s="152">
        <f t="shared" si="4"/>
        <v>0</v>
      </c>
      <c r="J35" s="152">
        <f t="shared" si="5"/>
        <v>0</v>
      </c>
      <c r="K35" s="149"/>
      <c r="L35" s="152">
        <f t="shared" si="1"/>
        <v>0</v>
      </c>
      <c r="M35" s="149"/>
      <c r="N35" s="149"/>
      <c r="O35" s="152">
        <f t="shared" si="10"/>
        <v>0</v>
      </c>
      <c r="P35" s="149"/>
      <c r="Q35" s="149"/>
      <c r="R35" s="149"/>
    </row>
    <row r="36" spans="1:18" ht="18">
      <c r="A36" s="9" t="s">
        <v>79</v>
      </c>
      <c r="B36" s="55">
        <v>1160000000</v>
      </c>
      <c r="C36" s="74">
        <v>21</v>
      </c>
      <c r="D36" s="74"/>
      <c r="E36" s="87">
        <f>C36+D36</f>
        <v>21</v>
      </c>
      <c r="F36" s="77"/>
      <c r="G36" s="74">
        <v>20.1</v>
      </c>
      <c r="H36" s="77">
        <f t="shared" si="12"/>
        <v>20</v>
      </c>
      <c r="I36" s="68">
        <f t="shared" si="4"/>
        <v>0.9523809523809523</v>
      </c>
      <c r="J36" s="68">
        <f t="shared" si="5"/>
        <v>0</v>
      </c>
      <c r="K36" s="74">
        <v>4.7</v>
      </c>
      <c r="L36" s="68">
        <f t="shared" si="1"/>
        <v>4.25531914893617</v>
      </c>
      <c r="M36" s="74">
        <v>-0.1</v>
      </c>
      <c r="N36" s="74"/>
      <c r="O36" s="68">
        <f t="shared" si="10"/>
        <v>0</v>
      </c>
      <c r="P36" s="74"/>
      <c r="Q36" s="74"/>
      <c r="R36" s="74"/>
    </row>
    <row r="37" spans="1:18" ht="18">
      <c r="A37" s="9" t="s">
        <v>71</v>
      </c>
      <c r="B37" s="30">
        <v>1170000000</v>
      </c>
      <c r="C37" s="74">
        <f>SUM(C38:C39)</f>
        <v>0</v>
      </c>
      <c r="D37" s="74">
        <f aca="true" t="shared" si="13" ref="D37:R37">SUM(D38:D39)</f>
        <v>0</v>
      </c>
      <c r="E37" s="74">
        <f t="shared" si="13"/>
        <v>0</v>
      </c>
      <c r="F37" s="74">
        <f t="shared" si="13"/>
        <v>0</v>
      </c>
      <c r="G37" s="74">
        <f>SUM(G38:G39)</f>
        <v>0</v>
      </c>
      <c r="H37" s="74">
        <f t="shared" si="13"/>
        <v>8.3</v>
      </c>
      <c r="I37" s="68">
        <f t="shared" si="4"/>
        <v>0</v>
      </c>
      <c r="J37" s="68">
        <f t="shared" si="5"/>
        <v>0</v>
      </c>
      <c r="K37" s="74">
        <f>SUM(K38:K39)</f>
        <v>0.1</v>
      </c>
      <c r="L37" s="68">
        <f t="shared" si="1"/>
        <v>83</v>
      </c>
      <c r="M37" s="74">
        <f>SUM(M38:M39)</f>
        <v>8.3</v>
      </c>
      <c r="N37" s="74">
        <f>SUM(N38:N39)</f>
        <v>0.1</v>
      </c>
      <c r="O37" s="74">
        <f t="shared" si="13"/>
        <v>0</v>
      </c>
      <c r="P37" s="74">
        <f t="shared" si="13"/>
        <v>0</v>
      </c>
      <c r="Q37" s="74">
        <f>SUM(Q38:Q39)</f>
        <v>0</v>
      </c>
      <c r="R37" s="74">
        <f t="shared" si="13"/>
        <v>0</v>
      </c>
    </row>
    <row r="38" spans="1:18" ht="18">
      <c r="A38" s="13" t="s">
        <v>8</v>
      </c>
      <c r="B38" s="13">
        <v>1170103003</v>
      </c>
      <c r="C38" s="73"/>
      <c r="D38" s="73"/>
      <c r="E38" s="69">
        <f>C38+D38</f>
        <v>0</v>
      </c>
      <c r="F38" s="69"/>
      <c r="G38" s="73"/>
      <c r="H38" s="70">
        <f>G38+M38</f>
        <v>8.3</v>
      </c>
      <c r="I38" s="72">
        <f t="shared" si="4"/>
        <v>0</v>
      </c>
      <c r="J38" s="72">
        <f t="shared" si="5"/>
        <v>0</v>
      </c>
      <c r="K38" s="73"/>
      <c r="L38" s="72">
        <f t="shared" si="1"/>
        <v>0</v>
      </c>
      <c r="M38" s="73">
        <v>8.3</v>
      </c>
      <c r="N38" s="73"/>
      <c r="O38" s="72">
        <f aca="true" t="shared" si="14" ref="O38:O45">IF(N38&gt;0,M38/N38,0)</f>
        <v>0</v>
      </c>
      <c r="P38" s="79"/>
      <c r="Q38" s="79"/>
      <c r="R38" s="79"/>
    </row>
    <row r="39" spans="1:18" ht="18">
      <c r="A39" s="13" t="s">
        <v>34</v>
      </c>
      <c r="B39" s="13">
        <v>1170505013</v>
      </c>
      <c r="C39" s="73"/>
      <c r="D39" s="70"/>
      <c r="E39" s="69">
        <f>C39+D39</f>
        <v>0</v>
      </c>
      <c r="F39" s="69"/>
      <c r="G39" s="73"/>
      <c r="H39" s="71">
        <f>G39+M39</f>
        <v>0</v>
      </c>
      <c r="I39" s="72">
        <f>IF(E39&gt;0,H39/E39,0)</f>
        <v>0</v>
      </c>
      <c r="J39" s="72">
        <f>IF(F39&gt;0,H39/F39,0)</f>
        <v>0</v>
      </c>
      <c r="K39" s="73">
        <v>0.1</v>
      </c>
      <c r="L39" s="72">
        <f>IF(K39&gt;0,H39/K39,0)</f>
        <v>0</v>
      </c>
      <c r="M39" s="73"/>
      <c r="N39" s="73">
        <v>0.1</v>
      </c>
      <c r="O39" s="72">
        <f t="shared" si="14"/>
        <v>0</v>
      </c>
      <c r="P39" s="73"/>
      <c r="Q39" s="73"/>
      <c r="R39" s="73"/>
    </row>
    <row r="40" spans="1:18" ht="18">
      <c r="A40" s="9" t="s">
        <v>6</v>
      </c>
      <c r="B40" s="9">
        <v>1000000000</v>
      </c>
      <c r="C40" s="81">
        <f aca="true" t="shared" si="15" ref="C40:H40">C5+C23</f>
        <v>8239.78</v>
      </c>
      <c r="D40" s="80">
        <f t="shared" si="15"/>
        <v>0</v>
      </c>
      <c r="E40" s="80">
        <f t="shared" si="15"/>
        <v>8239.78</v>
      </c>
      <c r="F40" s="81">
        <f t="shared" si="15"/>
        <v>0</v>
      </c>
      <c r="G40" s="81">
        <f>G5+G23</f>
        <v>3238</v>
      </c>
      <c r="H40" s="81">
        <f t="shared" si="15"/>
        <v>3835.6</v>
      </c>
      <c r="I40" s="82">
        <f t="shared" si="4"/>
        <v>0.4654978652342659</v>
      </c>
      <c r="J40" s="82">
        <f t="shared" si="5"/>
        <v>0</v>
      </c>
      <c r="K40" s="81">
        <f>K5+K23</f>
        <v>3601.3</v>
      </c>
      <c r="L40" s="82">
        <f t="shared" si="1"/>
        <v>1.0650598395024018</v>
      </c>
      <c r="M40" s="81">
        <f>M5+M23</f>
        <v>597.6</v>
      </c>
      <c r="N40" s="81">
        <f>N5+N23</f>
        <v>588.8</v>
      </c>
      <c r="O40" s="82">
        <f t="shared" si="14"/>
        <v>1.014945652173913</v>
      </c>
      <c r="P40" s="81">
        <f>P5+P23</f>
        <v>2284.9</v>
      </c>
      <c r="Q40" s="81">
        <f>Q5+Q23</f>
        <v>1070.1</v>
      </c>
      <c r="R40" s="125">
        <f>R5+R23</f>
        <v>1019.8000000000001</v>
      </c>
    </row>
    <row r="41" spans="1:18" ht="18">
      <c r="A41" s="9" t="s">
        <v>94</v>
      </c>
      <c r="B41" s="9"/>
      <c r="C41" s="81">
        <f aca="true" t="shared" si="16" ref="C41:H41">C40-C10</f>
        <v>7112.700000000001</v>
      </c>
      <c r="D41" s="80">
        <f t="shared" si="16"/>
        <v>0</v>
      </c>
      <c r="E41" s="80">
        <f t="shared" si="16"/>
        <v>7112.700000000001</v>
      </c>
      <c r="F41" s="81">
        <f t="shared" si="16"/>
        <v>0</v>
      </c>
      <c r="G41" s="81">
        <f>G40-G10</f>
        <v>2775</v>
      </c>
      <c r="H41" s="81">
        <f t="shared" si="16"/>
        <v>3277.3999999999996</v>
      </c>
      <c r="I41" s="82">
        <f>IF(E41&gt;0,H41/E41,0)</f>
        <v>0.4607814191516582</v>
      </c>
      <c r="J41" s="82">
        <f>IF(F41&gt;0,H41/F41,0)</f>
        <v>0</v>
      </c>
      <c r="K41" s="81">
        <f>K40-K10</f>
        <v>3071.7000000000003</v>
      </c>
      <c r="L41" s="82">
        <f t="shared" si="1"/>
        <v>1.066966175082202</v>
      </c>
      <c r="M41" s="81">
        <f>M40-M10</f>
        <v>502.40000000000003</v>
      </c>
      <c r="N41" s="81">
        <f>N40-N10</f>
        <v>500.69999999999993</v>
      </c>
      <c r="O41" s="82">
        <f t="shared" si="14"/>
        <v>1.0033952466546836</v>
      </c>
      <c r="P41" s="81"/>
      <c r="Q41" s="81"/>
      <c r="R41" s="125"/>
    </row>
    <row r="42" spans="1:18" ht="18">
      <c r="A42" s="13" t="s">
        <v>37</v>
      </c>
      <c r="B42" s="13">
        <v>2000000000</v>
      </c>
      <c r="C42" s="85">
        <v>1001.2</v>
      </c>
      <c r="D42" s="85">
        <f>138.7+1564.809</f>
        <v>1703.509</v>
      </c>
      <c r="E42" s="83">
        <f>C42+D42</f>
        <v>2704.709</v>
      </c>
      <c r="F42" s="69"/>
      <c r="G42" s="73">
        <v>0.6</v>
      </c>
      <c r="H42" s="70">
        <f>G42+M42</f>
        <v>0.6</v>
      </c>
      <c r="I42" s="72">
        <f t="shared" si="4"/>
        <v>0.00022183532498320523</v>
      </c>
      <c r="J42" s="72">
        <f t="shared" si="5"/>
        <v>0</v>
      </c>
      <c r="K42" s="73">
        <v>350.6</v>
      </c>
      <c r="L42" s="72">
        <f t="shared" si="1"/>
        <v>0.0017113519680547631</v>
      </c>
      <c r="M42" s="73"/>
      <c r="N42" s="73"/>
      <c r="O42" s="72">
        <f t="shared" si="14"/>
        <v>0</v>
      </c>
      <c r="P42" s="73"/>
      <c r="Q42" s="73"/>
      <c r="R42" s="73"/>
    </row>
    <row r="43" spans="1:18" ht="18">
      <c r="A43" s="13" t="s">
        <v>48</v>
      </c>
      <c r="B43" s="34" t="s">
        <v>97</v>
      </c>
      <c r="C43" s="73"/>
      <c r="D43" s="85">
        <f>960.332</f>
        <v>960.332</v>
      </c>
      <c r="E43" s="69">
        <f>C43+D43</f>
        <v>960.332</v>
      </c>
      <c r="F43" s="69"/>
      <c r="G43" s="73">
        <v>961.8</v>
      </c>
      <c r="H43" s="70">
        <f>G43+M43</f>
        <v>961.8</v>
      </c>
      <c r="I43" s="72">
        <f>IF(E43&gt;0,H43/E43,0)</f>
        <v>1.0015286380126873</v>
      </c>
      <c r="J43" s="72">
        <f>IF(F43&gt;0,H43/F43,0)</f>
        <v>0</v>
      </c>
      <c r="K43" s="73"/>
      <c r="L43" s="72">
        <f t="shared" si="1"/>
        <v>0</v>
      </c>
      <c r="M43" s="73"/>
      <c r="N43" s="73"/>
      <c r="O43" s="72">
        <f t="shared" si="14"/>
        <v>0</v>
      </c>
      <c r="P43" s="73"/>
      <c r="Q43" s="73"/>
      <c r="R43" s="73"/>
    </row>
    <row r="44" spans="1:18" ht="18">
      <c r="A44" s="8" t="s">
        <v>95</v>
      </c>
      <c r="B44" s="46" t="s">
        <v>110</v>
      </c>
      <c r="C44" s="73"/>
      <c r="D44" s="84"/>
      <c r="E44" s="69"/>
      <c r="F44" s="69"/>
      <c r="G44" s="73"/>
      <c r="H44" s="70">
        <f>G44+M44</f>
        <v>0</v>
      </c>
      <c r="I44" s="72">
        <f>IF(E44&gt;0,H44/E44,0)</f>
        <v>0</v>
      </c>
      <c r="J44" s="72"/>
      <c r="K44" s="73">
        <v>-657.5</v>
      </c>
      <c r="L44" s="72"/>
      <c r="M44" s="73"/>
      <c r="N44" s="73"/>
      <c r="O44" s="72"/>
      <c r="P44" s="73"/>
      <c r="Q44" s="73"/>
      <c r="R44" s="73"/>
    </row>
    <row r="45" spans="1:18" ht="18">
      <c r="A45" s="9" t="s">
        <v>2</v>
      </c>
      <c r="B45" s="9">
        <v>0</v>
      </c>
      <c r="C45" s="80">
        <f>C40+C42+C43</f>
        <v>9240.980000000001</v>
      </c>
      <c r="D45" s="80">
        <f>D40+D42+D43</f>
        <v>2663.841</v>
      </c>
      <c r="E45" s="80">
        <f>E40+E42+E43</f>
        <v>11904.821000000002</v>
      </c>
      <c r="F45" s="81">
        <f>F40+F42+F43</f>
        <v>0</v>
      </c>
      <c r="G45" s="81">
        <f>G40+G42+G43+G44</f>
        <v>4200.4</v>
      </c>
      <c r="H45" s="81">
        <f>H40+H42+H43+H44</f>
        <v>4798</v>
      </c>
      <c r="I45" s="82">
        <f t="shared" si="4"/>
        <v>0.4030299993590831</v>
      </c>
      <c r="J45" s="82">
        <f t="shared" si="5"/>
        <v>0</v>
      </c>
      <c r="K45" s="81">
        <f>K40+K42+K43+K44</f>
        <v>3294.4</v>
      </c>
      <c r="L45" s="82">
        <f t="shared" si="1"/>
        <v>1.4564108790675085</v>
      </c>
      <c r="M45" s="81">
        <f>M40+M42+M43+M44</f>
        <v>597.6</v>
      </c>
      <c r="N45" s="81">
        <f>N40+N42+N43+N44</f>
        <v>588.8</v>
      </c>
      <c r="O45" s="82">
        <f t="shared" si="14"/>
        <v>1.014945652173913</v>
      </c>
      <c r="P45" s="81">
        <f>P40+P42+P43</f>
        <v>2284.9</v>
      </c>
      <c r="Q45" s="81">
        <f>Q40+Q42+Q43</f>
        <v>1070.1</v>
      </c>
      <c r="R45" s="81">
        <f>R40+R42+R43</f>
        <v>1019.8000000000001</v>
      </c>
    </row>
  </sheetData>
  <sheetProtection/>
  <mergeCells count="15"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2.75390625" style="0" customWidth="1"/>
    <col min="13" max="13" width="10.1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1" t="s">
        <v>126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8" customHeight="1">
      <c r="A3" s="172" t="s">
        <v>3</v>
      </c>
      <c r="B3" s="165" t="s">
        <v>4</v>
      </c>
      <c r="C3" s="165" t="s">
        <v>114</v>
      </c>
      <c r="D3" s="165" t="s">
        <v>24</v>
      </c>
      <c r="E3" s="165" t="s">
        <v>115</v>
      </c>
      <c r="F3" s="165" t="s">
        <v>101</v>
      </c>
      <c r="G3" s="165" t="s">
        <v>118</v>
      </c>
      <c r="H3" s="165" t="s">
        <v>116</v>
      </c>
      <c r="I3" s="165"/>
      <c r="J3" s="165"/>
      <c r="K3" s="165" t="s">
        <v>108</v>
      </c>
      <c r="L3" s="165"/>
      <c r="M3" s="165" t="s">
        <v>121</v>
      </c>
      <c r="N3" s="165" t="s">
        <v>122</v>
      </c>
      <c r="O3" s="165" t="s">
        <v>30</v>
      </c>
      <c r="P3" s="165" t="s">
        <v>9</v>
      </c>
      <c r="Q3" s="165"/>
      <c r="R3" s="165"/>
    </row>
    <row r="4" spans="1:18" ht="98.25" customHeight="1">
      <c r="A4" s="173"/>
      <c r="B4" s="174"/>
      <c r="C4" s="165"/>
      <c r="D4" s="165"/>
      <c r="E4" s="165"/>
      <c r="F4" s="165"/>
      <c r="G4" s="165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5"/>
      <c r="N4" s="165"/>
      <c r="O4" s="165"/>
      <c r="P4" s="124" t="s">
        <v>117</v>
      </c>
      <c r="Q4" s="124" t="s">
        <v>119</v>
      </c>
      <c r="R4" s="124" t="s">
        <v>124</v>
      </c>
    </row>
    <row r="5" spans="1:18" ht="21" customHeight="1">
      <c r="A5" s="51" t="s">
        <v>21</v>
      </c>
      <c r="B5" s="52"/>
      <c r="C5" s="86">
        <f aca="true" t="shared" si="0" ref="C5:H5">C6+C16+C18+C23+C24+C11</f>
        <v>745.8000000000001</v>
      </c>
      <c r="D5" s="86">
        <f t="shared" si="0"/>
        <v>0</v>
      </c>
      <c r="E5" s="86">
        <f t="shared" si="0"/>
        <v>745.8000000000001</v>
      </c>
      <c r="F5" s="86">
        <f t="shared" si="0"/>
        <v>0</v>
      </c>
      <c r="G5" s="86">
        <f t="shared" si="0"/>
        <v>284.6</v>
      </c>
      <c r="H5" s="86">
        <f t="shared" si="0"/>
        <v>314.70000000000005</v>
      </c>
      <c r="I5" s="66">
        <f aca="true" t="shared" si="1" ref="I5:I40">IF(E5&gt;0,H5/E5,0)</f>
        <v>0.421962992759453</v>
      </c>
      <c r="J5" s="66">
        <f>IF(F5&gt;0,H5/F5,0)</f>
        <v>0</v>
      </c>
      <c r="K5" s="86">
        <f>K6+K16+K18+K23+K24+K11</f>
        <v>359.7</v>
      </c>
      <c r="L5" s="66">
        <f>IF(K5&gt;0,H5/K5,0)</f>
        <v>0.8748957464553796</v>
      </c>
      <c r="M5" s="86">
        <f>M6+M16+M18+M23+M24+M11</f>
        <v>30.1</v>
      </c>
      <c r="N5" s="86">
        <f>N6+N16+N18+N23+N24+N11</f>
        <v>42.8</v>
      </c>
      <c r="O5" s="66">
        <f aca="true" t="shared" si="2" ref="O5:O32">IF(N5&gt;0,M5/N5,0)</f>
        <v>0.7032710280373833</v>
      </c>
      <c r="P5" s="86">
        <f>P6+P16+P18+P23+P24+P11</f>
        <v>38.4</v>
      </c>
      <c r="Q5" s="86">
        <f>Q6+Q16+Q18+Q23+Q24+Q11</f>
        <v>24.499999999999996</v>
      </c>
      <c r="R5" s="86">
        <f>R6+R16+R18+R23+R24+R11</f>
        <v>23.299999999999997</v>
      </c>
    </row>
    <row r="6" spans="1:18" ht="16.5" customHeight="1">
      <c r="A6" s="9" t="s">
        <v>65</v>
      </c>
      <c r="B6" s="53">
        <v>1010200001</v>
      </c>
      <c r="C6" s="87">
        <f aca="true" t="shared" si="3" ref="C6:H6">C7+C8+C9+C10</f>
        <v>271.3</v>
      </c>
      <c r="D6" s="87">
        <f t="shared" si="3"/>
        <v>0</v>
      </c>
      <c r="E6" s="87">
        <f t="shared" si="3"/>
        <v>271.3</v>
      </c>
      <c r="F6" s="87">
        <f t="shared" si="3"/>
        <v>0</v>
      </c>
      <c r="G6" s="87">
        <f t="shared" si="3"/>
        <v>145.5</v>
      </c>
      <c r="H6" s="87">
        <f t="shared" si="3"/>
        <v>179.2</v>
      </c>
      <c r="I6" s="68">
        <f t="shared" si="1"/>
        <v>0.6605234058238112</v>
      </c>
      <c r="J6" s="68">
        <f>IF(F6&gt;0,H6/F6,0)</f>
        <v>0</v>
      </c>
      <c r="K6" s="87">
        <f>K7+K8+K9+K10</f>
        <v>137.1</v>
      </c>
      <c r="L6" s="68">
        <f aca="true" t="shared" si="4" ref="L6:L40">IF(K6&gt;0,H6/K6,0)</f>
        <v>1.3070751276440553</v>
      </c>
      <c r="M6" s="87">
        <f>M7+M8+M9+M10</f>
        <v>33.7</v>
      </c>
      <c r="N6" s="87">
        <f>N7+N8+N9+N10</f>
        <v>22</v>
      </c>
      <c r="O6" s="68">
        <f t="shared" si="2"/>
        <v>1.531818181818182</v>
      </c>
      <c r="P6" s="87">
        <f>P7+P8+P9+P10</f>
        <v>1</v>
      </c>
      <c r="Q6" s="87">
        <f>Q7+Q8+Q9+Q10</f>
        <v>1.7</v>
      </c>
      <c r="R6" s="87">
        <f>R7+R8+R9+R10</f>
        <v>1.7</v>
      </c>
    </row>
    <row r="7" spans="1:18" ht="18">
      <c r="A7" s="10" t="s">
        <v>46</v>
      </c>
      <c r="B7" s="13">
        <v>1010201001</v>
      </c>
      <c r="C7" s="73">
        <v>271.3</v>
      </c>
      <c r="D7" s="70"/>
      <c r="E7" s="69">
        <f>C7+D7</f>
        <v>271.3</v>
      </c>
      <c r="F7" s="69"/>
      <c r="G7" s="70">
        <v>144.7</v>
      </c>
      <c r="H7" s="71">
        <f>G7+M7</f>
        <v>178.39999999999998</v>
      </c>
      <c r="I7" s="72">
        <f t="shared" si="1"/>
        <v>0.6575746406192405</v>
      </c>
      <c r="J7" s="72">
        <f aca="true" t="shared" si="5" ref="J7:J40">IF(F7&gt;0,H7/F7,0)</f>
        <v>0</v>
      </c>
      <c r="K7" s="70">
        <v>137.1</v>
      </c>
      <c r="L7" s="72">
        <f t="shared" si="4"/>
        <v>1.3012399708242157</v>
      </c>
      <c r="M7" s="70">
        <v>33.7</v>
      </c>
      <c r="N7" s="70">
        <v>22</v>
      </c>
      <c r="O7" s="72">
        <f t="shared" si="2"/>
        <v>1.531818181818182</v>
      </c>
      <c r="P7" s="73"/>
      <c r="Q7" s="73">
        <v>0.7</v>
      </c>
      <c r="R7" s="73">
        <v>0.7</v>
      </c>
    </row>
    <row r="8" spans="1:18" ht="18">
      <c r="A8" s="10" t="s">
        <v>45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43</v>
      </c>
      <c r="B9" s="13">
        <v>1010203001</v>
      </c>
      <c r="C9" s="73"/>
      <c r="D9" s="73"/>
      <c r="E9" s="69">
        <f>C9+D9</f>
        <v>0</v>
      </c>
      <c r="F9" s="69"/>
      <c r="G9" s="73">
        <v>0.8</v>
      </c>
      <c r="H9" s="71">
        <f>G9+M9</f>
        <v>0.8</v>
      </c>
      <c r="I9" s="72">
        <f t="shared" si="1"/>
        <v>0</v>
      </c>
      <c r="J9" s="72">
        <f t="shared" si="5"/>
        <v>0</v>
      </c>
      <c r="K9" s="73"/>
      <c r="L9" s="72">
        <f t="shared" si="4"/>
        <v>0</v>
      </c>
      <c r="M9" s="73"/>
      <c r="N9" s="73"/>
      <c r="O9" s="72">
        <f t="shared" si="2"/>
        <v>0</v>
      </c>
      <c r="P9" s="73">
        <v>1</v>
      </c>
      <c r="Q9" s="73">
        <v>1</v>
      </c>
      <c r="R9" s="73">
        <v>1</v>
      </c>
    </row>
    <row r="10" spans="1:18" ht="24" customHeight="1" hidden="1">
      <c r="A10" s="10" t="s">
        <v>44</v>
      </c>
      <c r="B10" s="13">
        <v>1010204001</v>
      </c>
      <c r="C10" s="73"/>
      <c r="D10" s="73"/>
      <c r="E10" s="69">
        <f>C10+D10</f>
        <v>0</v>
      </c>
      <c r="F10" s="69"/>
      <c r="G10" s="73"/>
      <c r="H10" s="71">
        <f>G10+M10</f>
        <v>0</v>
      </c>
      <c r="I10" s="72">
        <f t="shared" si="1"/>
        <v>0</v>
      </c>
      <c r="J10" s="72">
        <f t="shared" si="5"/>
        <v>0</v>
      </c>
      <c r="K10" s="73"/>
      <c r="L10" s="72">
        <f t="shared" si="4"/>
        <v>0</v>
      </c>
      <c r="M10" s="73"/>
      <c r="N10" s="73"/>
      <c r="O10" s="72">
        <f t="shared" si="2"/>
        <v>0</v>
      </c>
      <c r="P10" s="73"/>
      <c r="Q10" s="73"/>
      <c r="R10" s="73"/>
    </row>
    <row r="11" spans="1:18" ht="18.75" customHeight="1">
      <c r="A11" s="11" t="s">
        <v>50</v>
      </c>
      <c r="B11" s="19">
        <v>1030200001</v>
      </c>
      <c r="C11" s="74">
        <f aca="true" t="shared" si="6" ref="C11:H11">SUM(C12:C15)</f>
        <v>246.50000000000006</v>
      </c>
      <c r="D11" s="74">
        <f t="shared" si="6"/>
        <v>0</v>
      </c>
      <c r="E11" s="74">
        <f t="shared" si="6"/>
        <v>246.50000000000006</v>
      </c>
      <c r="F11" s="74"/>
      <c r="G11" s="74">
        <f>SUM(G12:G15)</f>
        <v>101.1</v>
      </c>
      <c r="H11" s="74">
        <f t="shared" si="6"/>
        <v>121.80000000000001</v>
      </c>
      <c r="I11" s="68">
        <f t="shared" si="1"/>
        <v>0.49411764705882344</v>
      </c>
      <c r="J11" s="68">
        <f>IF(F11&gt;0,H11/F11,0)</f>
        <v>0</v>
      </c>
      <c r="K11" s="74">
        <f>SUM(K12:K15)</f>
        <v>115.3</v>
      </c>
      <c r="L11" s="68">
        <f t="shared" si="4"/>
        <v>1.056374674761492</v>
      </c>
      <c r="M11" s="74">
        <f>SUM(M12:M15)</f>
        <v>20.7</v>
      </c>
      <c r="N11" s="74">
        <f>SUM(N12:N15)</f>
        <v>19.2</v>
      </c>
      <c r="O11" s="68">
        <f t="shared" si="2"/>
        <v>1.078125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51</v>
      </c>
      <c r="B12" s="12">
        <v>1030223001</v>
      </c>
      <c r="C12" s="73">
        <v>86.7</v>
      </c>
      <c r="D12" s="73"/>
      <c r="E12" s="69">
        <f>C12+D12</f>
        <v>86.7</v>
      </c>
      <c r="F12" s="69"/>
      <c r="G12" s="73">
        <v>43.6</v>
      </c>
      <c r="H12" s="71">
        <f>G12+M12</f>
        <v>52.8</v>
      </c>
      <c r="I12" s="72">
        <f t="shared" si="1"/>
        <v>0.6089965397923874</v>
      </c>
      <c r="J12" s="72">
        <f>IF(F12&gt;0,H12/F12,0)</f>
        <v>0</v>
      </c>
      <c r="K12" s="73">
        <v>45.5</v>
      </c>
      <c r="L12" s="72">
        <f t="shared" si="4"/>
        <v>1.1604395604395603</v>
      </c>
      <c r="M12" s="73">
        <v>9.2</v>
      </c>
      <c r="N12" s="73">
        <v>7.8</v>
      </c>
      <c r="O12" s="72">
        <f t="shared" si="2"/>
        <v>1.1794871794871795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0.7</v>
      </c>
      <c r="D13" s="73"/>
      <c r="E13" s="69">
        <f>C13+D13</f>
        <v>0.7</v>
      </c>
      <c r="F13" s="69"/>
      <c r="G13" s="73">
        <v>0.3</v>
      </c>
      <c r="H13" s="71">
        <f>G13+M13</f>
        <v>0.4</v>
      </c>
      <c r="I13" s="72">
        <f t="shared" si="1"/>
        <v>0.5714285714285715</v>
      </c>
      <c r="J13" s="72">
        <f>IF(F13&gt;0,H13/F13,0)</f>
        <v>0</v>
      </c>
      <c r="K13" s="73">
        <v>0.5</v>
      </c>
      <c r="L13" s="72">
        <f t="shared" si="4"/>
        <v>0.8</v>
      </c>
      <c r="M13" s="73">
        <v>0.1</v>
      </c>
      <c r="N13" s="73">
        <v>0.1</v>
      </c>
      <c r="O13" s="72">
        <f t="shared" si="2"/>
        <v>1</v>
      </c>
      <c r="P13" s="73"/>
      <c r="Q13" s="73"/>
      <c r="R13" s="73"/>
    </row>
    <row r="14" spans="1:18" ht="19.5" customHeight="1">
      <c r="A14" s="12" t="s">
        <v>53</v>
      </c>
      <c r="B14" s="12">
        <v>1030225001</v>
      </c>
      <c r="C14" s="73">
        <v>175.3</v>
      </c>
      <c r="D14" s="73"/>
      <c r="E14" s="69">
        <f>C14+D14</f>
        <v>175.3</v>
      </c>
      <c r="F14" s="69"/>
      <c r="G14" s="73">
        <v>66.2</v>
      </c>
      <c r="H14" s="71">
        <f>G14+M14</f>
        <v>79.60000000000001</v>
      </c>
      <c r="I14" s="72">
        <f t="shared" si="1"/>
        <v>0.4540787221905305</v>
      </c>
      <c r="J14" s="72">
        <f>IF(F14&gt;0,H14/F14,0)</f>
        <v>0</v>
      </c>
      <c r="K14" s="73">
        <v>78.5</v>
      </c>
      <c r="L14" s="72">
        <f t="shared" si="4"/>
        <v>1.0140127388535034</v>
      </c>
      <c r="M14" s="73">
        <v>13.4</v>
      </c>
      <c r="N14" s="73">
        <v>13.3</v>
      </c>
      <c r="O14" s="72">
        <f t="shared" si="2"/>
        <v>1.0075187969924813</v>
      </c>
      <c r="P14" s="73"/>
      <c r="Q14" s="73"/>
      <c r="R14" s="73"/>
    </row>
    <row r="15" spans="1:18" ht="18.75" customHeight="1">
      <c r="A15" s="12" t="s">
        <v>54</v>
      </c>
      <c r="B15" s="12">
        <v>1030226001</v>
      </c>
      <c r="C15" s="73">
        <v>-16.2</v>
      </c>
      <c r="D15" s="73"/>
      <c r="E15" s="69">
        <f>C15+D15</f>
        <v>-16.2</v>
      </c>
      <c r="F15" s="69"/>
      <c r="G15" s="73">
        <v>-9</v>
      </c>
      <c r="H15" s="71">
        <f>G15+M15</f>
        <v>-11</v>
      </c>
      <c r="I15" s="72">
        <f>H15/E15</f>
        <v>0.6790123456790124</v>
      </c>
      <c r="J15" s="72">
        <f>IF(F15&gt;0,H15/F15,0)</f>
        <v>0</v>
      </c>
      <c r="K15" s="73">
        <v>-9.2</v>
      </c>
      <c r="L15" s="72">
        <f t="shared" si="4"/>
        <v>0</v>
      </c>
      <c r="M15" s="73">
        <v>-2</v>
      </c>
      <c r="N15" s="73">
        <v>-2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138</v>
      </c>
      <c r="D16" s="75">
        <f t="shared" si="7"/>
        <v>0</v>
      </c>
      <c r="E16" s="75">
        <f t="shared" si="7"/>
        <v>138</v>
      </c>
      <c r="F16" s="75">
        <f t="shared" si="7"/>
        <v>0</v>
      </c>
      <c r="G16" s="74">
        <f>G17</f>
        <v>9.4</v>
      </c>
      <c r="H16" s="75">
        <f t="shared" si="7"/>
        <v>9.4</v>
      </c>
      <c r="I16" s="68">
        <f t="shared" si="1"/>
        <v>0.06811594202898551</v>
      </c>
      <c r="J16" s="68">
        <f t="shared" si="5"/>
        <v>0</v>
      </c>
      <c r="K16" s="74">
        <f>K17</f>
        <v>73.8</v>
      </c>
      <c r="L16" s="68">
        <f t="shared" si="4"/>
        <v>0.12737127371273713</v>
      </c>
      <c r="M16" s="74">
        <f>M17</f>
        <v>0</v>
      </c>
      <c r="N16" s="74">
        <f>N17</f>
        <v>0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138</v>
      </c>
      <c r="D17" s="70"/>
      <c r="E17" s="69">
        <f>C17+D17</f>
        <v>138</v>
      </c>
      <c r="F17" s="69">
        <f>1-1</f>
        <v>0</v>
      </c>
      <c r="G17" s="73">
        <v>9.4</v>
      </c>
      <c r="H17" s="71">
        <f>G17+M17</f>
        <v>9.4</v>
      </c>
      <c r="I17" s="72">
        <f t="shared" si="1"/>
        <v>0.06811594202898551</v>
      </c>
      <c r="J17" s="72">
        <f t="shared" si="5"/>
        <v>0</v>
      </c>
      <c r="K17" s="73">
        <v>73.8</v>
      </c>
      <c r="L17" s="72">
        <f t="shared" si="4"/>
        <v>0.12737127371273713</v>
      </c>
      <c r="M17" s="73"/>
      <c r="N17" s="73"/>
      <c r="O17" s="72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87</v>
      </c>
      <c r="D18" s="128">
        <f t="shared" si="8"/>
        <v>0</v>
      </c>
      <c r="E18" s="75">
        <f t="shared" si="8"/>
        <v>87</v>
      </c>
      <c r="F18" s="75">
        <f t="shared" si="8"/>
        <v>0</v>
      </c>
      <c r="G18" s="74">
        <f>G19+G22</f>
        <v>28.200000000000003</v>
      </c>
      <c r="H18" s="75">
        <f t="shared" si="8"/>
        <v>3.8</v>
      </c>
      <c r="I18" s="68">
        <f t="shared" si="1"/>
        <v>0.04367816091954023</v>
      </c>
      <c r="J18" s="68">
        <f t="shared" si="5"/>
        <v>0</v>
      </c>
      <c r="K18" s="74">
        <f>K19+K22</f>
        <v>29.700000000000003</v>
      </c>
      <c r="L18" s="68">
        <f t="shared" si="4"/>
        <v>0.12794612794612792</v>
      </c>
      <c r="M18" s="74">
        <f>M19+M22</f>
        <v>-24.400000000000002</v>
      </c>
      <c r="N18" s="74">
        <f>N19+N22</f>
        <v>0.6000000000000001</v>
      </c>
      <c r="O18" s="68">
        <f t="shared" si="2"/>
        <v>-40.666666666666664</v>
      </c>
      <c r="P18" s="74">
        <f>P19+P22</f>
        <v>37.4</v>
      </c>
      <c r="Q18" s="74">
        <f>Q19+Q22</f>
        <v>22.799999999999997</v>
      </c>
      <c r="R18" s="74">
        <f>R19+R22</f>
        <v>21.599999999999998</v>
      </c>
    </row>
    <row r="19" spans="1:18" ht="18">
      <c r="A19" s="13" t="s">
        <v>13</v>
      </c>
      <c r="B19" s="13">
        <v>1060600000</v>
      </c>
      <c r="C19" s="76">
        <f aca="true" t="shared" si="9" ref="C19:H19">C20+C21</f>
        <v>73</v>
      </c>
      <c r="D19" s="76">
        <f t="shared" si="9"/>
        <v>0</v>
      </c>
      <c r="E19" s="70">
        <f t="shared" si="9"/>
        <v>73</v>
      </c>
      <c r="F19" s="70">
        <f t="shared" si="9"/>
        <v>0</v>
      </c>
      <c r="G19" s="76">
        <f>G20+G21</f>
        <v>2.9000000000000004</v>
      </c>
      <c r="H19" s="70">
        <f t="shared" si="9"/>
        <v>3.1000000000000005</v>
      </c>
      <c r="I19" s="72">
        <f t="shared" si="1"/>
        <v>0.04246575342465754</v>
      </c>
      <c r="J19" s="72">
        <f t="shared" si="5"/>
        <v>0</v>
      </c>
      <c r="K19" s="76">
        <f>K20+K21</f>
        <v>27.6</v>
      </c>
      <c r="L19" s="72">
        <f t="shared" si="4"/>
        <v>0.11231884057971016</v>
      </c>
      <c r="M19" s="76">
        <f>M20+M21</f>
        <v>0.2</v>
      </c>
      <c r="N19" s="76">
        <f>N20+N21</f>
        <v>0.2</v>
      </c>
      <c r="O19" s="72">
        <f t="shared" si="2"/>
        <v>1</v>
      </c>
      <c r="P19" s="73">
        <f>P20+P21</f>
        <v>33.3</v>
      </c>
      <c r="Q19" s="73">
        <f>Q20+Q21</f>
        <v>20.4</v>
      </c>
      <c r="R19" s="73">
        <f>R20+R21</f>
        <v>19.7</v>
      </c>
    </row>
    <row r="20" spans="1:18" ht="18">
      <c r="A20" s="13" t="s">
        <v>102</v>
      </c>
      <c r="B20" s="13">
        <v>1060603310</v>
      </c>
      <c r="C20" s="73">
        <v>28</v>
      </c>
      <c r="D20" s="70"/>
      <c r="E20" s="69">
        <f>C20+D20</f>
        <v>28</v>
      </c>
      <c r="F20" s="69"/>
      <c r="G20" s="73">
        <v>0.8</v>
      </c>
      <c r="H20" s="71">
        <f>G20+M20</f>
        <v>0.8</v>
      </c>
      <c r="I20" s="72">
        <f t="shared" si="1"/>
        <v>0.028571428571428574</v>
      </c>
      <c r="J20" s="72">
        <f t="shared" si="5"/>
        <v>0</v>
      </c>
      <c r="K20" s="73">
        <v>24.5</v>
      </c>
      <c r="L20" s="72">
        <f t="shared" si="4"/>
        <v>0.0326530612244898</v>
      </c>
      <c r="M20" s="73"/>
      <c r="N20" s="73"/>
      <c r="O20" s="72">
        <f t="shared" si="2"/>
        <v>0</v>
      </c>
      <c r="P20" s="73"/>
      <c r="Q20" s="73"/>
      <c r="R20" s="73"/>
    </row>
    <row r="21" spans="1:18" ht="18">
      <c r="A21" s="13" t="s">
        <v>103</v>
      </c>
      <c r="B21" s="13">
        <v>1060604310</v>
      </c>
      <c r="C21" s="73">
        <v>45</v>
      </c>
      <c r="D21" s="70"/>
      <c r="E21" s="69">
        <f>C21+D21</f>
        <v>45</v>
      </c>
      <c r="F21" s="69"/>
      <c r="G21" s="73">
        <v>2.1</v>
      </c>
      <c r="H21" s="71">
        <f>G21+M21</f>
        <v>2.3000000000000003</v>
      </c>
      <c r="I21" s="72">
        <f t="shared" si="1"/>
        <v>0.051111111111111114</v>
      </c>
      <c r="J21" s="72">
        <f t="shared" si="5"/>
        <v>0</v>
      </c>
      <c r="K21" s="73">
        <v>3.1</v>
      </c>
      <c r="L21" s="72">
        <f t="shared" si="4"/>
        <v>0.7419354838709679</v>
      </c>
      <c r="M21" s="73">
        <v>0.2</v>
      </c>
      <c r="N21" s="73">
        <v>0.2</v>
      </c>
      <c r="O21" s="72">
        <f t="shared" si="2"/>
        <v>1</v>
      </c>
      <c r="P21" s="73">
        <v>33.3</v>
      </c>
      <c r="Q21" s="73">
        <v>20.4</v>
      </c>
      <c r="R21" s="73">
        <v>19.7</v>
      </c>
    </row>
    <row r="22" spans="1:19" ht="18">
      <c r="A22" s="13" t="s">
        <v>12</v>
      </c>
      <c r="B22" s="13">
        <v>1060103010</v>
      </c>
      <c r="C22" s="73">
        <v>14</v>
      </c>
      <c r="D22" s="70"/>
      <c r="E22" s="69">
        <f>C22+D22</f>
        <v>14</v>
      </c>
      <c r="F22" s="69"/>
      <c r="G22" s="73">
        <v>25.3</v>
      </c>
      <c r="H22" s="71">
        <f>G22+M22</f>
        <v>0.6999999999999993</v>
      </c>
      <c r="I22" s="72">
        <f t="shared" si="1"/>
        <v>0.04999999999999995</v>
      </c>
      <c r="J22" s="72">
        <f t="shared" si="5"/>
        <v>0</v>
      </c>
      <c r="K22" s="73">
        <v>2.1</v>
      </c>
      <c r="L22" s="72">
        <f t="shared" si="4"/>
        <v>0.333333333333333</v>
      </c>
      <c r="M22" s="73">
        <v>-24.6</v>
      </c>
      <c r="N22" s="73">
        <v>0.4</v>
      </c>
      <c r="O22" s="72">
        <f t="shared" si="2"/>
        <v>-61.5</v>
      </c>
      <c r="P22" s="73">
        <v>4.1</v>
      </c>
      <c r="Q22" s="73">
        <v>2.4</v>
      </c>
      <c r="R22" s="73">
        <v>1.9</v>
      </c>
      <c r="S22" s="134"/>
    </row>
    <row r="23" spans="1:18" ht="18">
      <c r="A23" s="30" t="s">
        <v>74</v>
      </c>
      <c r="B23" s="30">
        <v>1080402001</v>
      </c>
      <c r="C23" s="74">
        <v>3</v>
      </c>
      <c r="D23" s="75"/>
      <c r="E23" s="67">
        <f>C23+D23</f>
        <v>3</v>
      </c>
      <c r="F23" s="67"/>
      <c r="G23" s="74">
        <v>0.4</v>
      </c>
      <c r="H23" s="77">
        <f>G23+M23</f>
        <v>0.5</v>
      </c>
      <c r="I23" s="68">
        <f t="shared" si="1"/>
        <v>0.16666666666666666</v>
      </c>
      <c r="J23" s="68">
        <f t="shared" si="5"/>
        <v>0</v>
      </c>
      <c r="K23" s="74">
        <v>3.8</v>
      </c>
      <c r="L23" s="68">
        <f t="shared" si="4"/>
        <v>0.13157894736842105</v>
      </c>
      <c r="M23" s="74">
        <v>0.1</v>
      </c>
      <c r="N23" s="74">
        <v>1</v>
      </c>
      <c r="O23" s="68">
        <f t="shared" si="2"/>
        <v>0.1</v>
      </c>
      <c r="P23" s="74"/>
      <c r="Q23" s="74"/>
      <c r="R23" s="74"/>
    </row>
    <row r="24" spans="1:18" ht="2.25" customHeight="1" hidden="1">
      <c r="A24" s="30" t="s">
        <v>75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22</v>
      </c>
      <c r="B25" s="32"/>
      <c r="C25" s="88">
        <f aca="true" t="shared" si="10" ref="C25:H25">C26+C29+C33+C30+C32+C31</f>
        <v>395</v>
      </c>
      <c r="D25" s="159">
        <f t="shared" si="10"/>
        <v>227.178</v>
      </c>
      <c r="E25" s="159">
        <f t="shared" si="10"/>
        <v>622.178</v>
      </c>
      <c r="F25" s="88">
        <f t="shared" si="10"/>
        <v>0</v>
      </c>
      <c r="G25" s="88">
        <f>G26+G29+G33+G30+G32+G31</f>
        <v>319.29999999999995</v>
      </c>
      <c r="H25" s="88">
        <f t="shared" si="10"/>
        <v>351.19999999999993</v>
      </c>
      <c r="I25" s="66">
        <f t="shared" si="1"/>
        <v>0.5644686890246842</v>
      </c>
      <c r="J25" s="66">
        <f t="shared" si="5"/>
        <v>0</v>
      </c>
      <c r="K25" s="88">
        <f>K26+K29+K33+K30+K32+K31</f>
        <v>214.60000000000002</v>
      </c>
      <c r="L25" s="66">
        <f t="shared" si="4"/>
        <v>1.6365330848089463</v>
      </c>
      <c r="M25" s="88">
        <f>M26+M29+M33+M30+M32+M31</f>
        <v>31.900000000000002</v>
      </c>
      <c r="N25" s="88">
        <f>N26+N29+N33+N30+N32+N31</f>
        <v>38.9</v>
      </c>
      <c r="O25" s="66">
        <f t="shared" si="2"/>
        <v>0.8200514138817482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30</v>
      </c>
      <c r="D26" s="74">
        <f t="shared" si="11"/>
        <v>3.178</v>
      </c>
      <c r="E26" s="74">
        <f t="shared" si="11"/>
        <v>33.178</v>
      </c>
      <c r="F26" s="74">
        <f t="shared" si="11"/>
        <v>0</v>
      </c>
      <c r="G26" s="74">
        <f>G27+G28</f>
        <v>6.9</v>
      </c>
      <c r="H26" s="74">
        <f t="shared" si="11"/>
        <v>8.6</v>
      </c>
      <c r="I26" s="89">
        <f t="shared" si="1"/>
        <v>0.25920790885526557</v>
      </c>
      <c r="J26" s="89">
        <f t="shared" si="5"/>
        <v>0</v>
      </c>
      <c r="K26" s="74">
        <f>K27+K28</f>
        <v>12.5</v>
      </c>
      <c r="L26" s="89">
        <f t="shared" si="4"/>
        <v>0.688</v>
      </c>
      <c r="M26" s="74">
        <f>M27+M28</f>
        <v>1.7</v>
      </c>
      <c r="N26" s="74">
        <f>N27+N28</f>
        <v>6.8</v>
      </c>
      <c r="O26" s="89">
        <f t="shared" si="2"/>
        <v>0.25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3" customHeight="1">
      <c r="A27" s="13" t="s">
        <v>26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30</v>
      </c>
      <c r="D28" s="85">
        <f>3.178</f>
        <v>3.178</v>
      </c>
      <c r="E28" s="73">
        <f>C28+D28</f>
        <v>33.178</v>
      </c>
      <c r="F28" s="73"/>
      <c r="G28" s="73">
        <v>6.9</v>
      </c>
      <c r="H28" s="70">
        <f t="shared" si="12"/>
        <v>8.6</v>
      </c>
      <c r="I28" s="79">
        <f t="shared" si="1"/>
        <v>0.25920790885526557</v>
      </c>
      <c r="J28" s="79">
        <f t="shared" si="5"/>
        <v>0</v>
      </c>
      <c r="K28" s="73">
        <v>12.5</v>
      </c>
      <c r="L28" s="79">
        <f t="shared" si="4"/>
        <v>0.688</v>
      </c>
      <c r="M28" s="73">
        <v>1.7</v>
      </c>
      <c r="N28" s="73">
        <v>6.8</v>
      </c>
      <c r="O28" s="79">
        <f t="shared" si="2"/>
        <v>0.25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365</v>
      </c>
      <c r="D29" s="74">
        <f>40</f>
        <v>40</v>
      </c>
      <c r="E29" s="74">
        <f>C29+D29</f>
        <v>405</v>
      </c>
      <c r="F29" s="74"/>
      <c r="G29" s="74">
        <v>128.1</v>
      </c>
      <c r="H29" s="75">
        <f t="shared" si="12"/>
        <v>158.2</v>
      </c>
      <c r="I29" s="89">
        <f t="shared" si="1"/>
        <v>0.39061728395061723</v>
      </c>
      <c r="J29" s="89">
        <f t="shared" si="5"/>
        <v>0</v>
      </c>
      <c r="K29" s="74">
        <v>201.8</v>
      </c>
      <c r="L29" s="89">
        <f t="shared" si="4"/>
        <v>0.7839444995044598</v>
      </c>
      <c r="M29" s="74">
        <v>30.1</v>
      </c>
      <c r="N29" s="74">
        <v>32</v>
      </c>
      <c r="O29" s="89">
        <f t="shared" si="2"/>
        <v>0.940625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>
        <f>184</f>
        <v>184</v>
      </c>
      <c r="E30" s="74">
        <f>C30+D30</f>
        <v>184</v>
      </c>
      <c r="F30" s="74"/>
      <c r="G30" s="74">
        <v>184.2</v>
      </c>
      <c r="H30" s="75">
        <f t="shared" si="12"/>
        <v>184.2</v>
      </c>
      <c r="I30" s="89">
        <f>IF(E30&gt;0,H30/E30,0)</f>
        <v>1.001086956521739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79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9" ht="18">
      <c r="A33" s="9" t="s">
        <v>71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0.1</v>
      </c>
      <c r="H33" s="74">
        <f t="shared" si="13"/>
        <v>0.2</v>
      </c>
      <c r="I33" s="89">
        <f>IF(E33&gt;0,H33/E33,0)</f>
        <v>0</v>
      </c>
      <c r="J33" s="89">
        <f>IF(F33&gt;0,H33/F33,0)</f>
        <v>0</v>
      </c>
      <c r="K33" s="74">
        <f>SUM(K34:K35)</f>
        <v>0.3</v>
      </c>
      <c r="L33" s="89">
        <f t="shared" si="4"/>
        <v>0.6666666666666667</v>
      </c>
      <c r="M33" s="74">
        <f>SUM(M34:M35)</f>
        <v>0.1</v>
      </c>
      <c r="N33" s="74">
        <f>SUM(N34:N35)</f>
        <v>0.1</v>
      </c>
      <c r="O33" s="74">
        <f t="shared" si="13"/>
        <v>1</v>
      </c>
      <c r="P33" s="74">
        <f t="shared" si="13"/>
        <v>0</v>
      </c>
      <c r="Q33" s="74">
        <f>SUM(Q34:Q35)</f>
        <v>0</v>
      </c>
      <c r="R33" s="74">
        <f t="shared" si="13"/>
        <v>0</v>
      </c>
      <c r="S33" s="135"/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aca="true" t="shared" si="14" ref="O34:O40">IF(N34&gt;0,M34/N34,0)</f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>
        <v>0.1</v>
      </c>
      <c r="H35" s="70">
        <f>G35+M35</f>
        <v>0.2</v>
      </c>
      <c r="I35" s="79">
        <f>IF(E35&gt;0,H35/E35,0)</f>
        <v>0</v>
      </c>
      <c r="J35" s="79">
        <f>IF(F35&gt;0,H35/F35,0)</f>
        <v>0</v>
      </c>
      <c r="K35" s="73">
        <v>0.3</v>
      </c>
      <c r="L35" s="79">
        <f>IF(K35&gt;0,H35/K35,0)</f>
        <v>0.6666666666666667</v>
      </c>
      <c r="M35" s="73">
        <v>0.1</v>
      </c>
      <c r="N35" s="73">
        <v>0.1</v>
      </c>
      <c r="O35" s="79">
        <f t="shared" si="14"/>
        <v>1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0">
        <f aca="true" t="shared" si="15" ref="C36:H36">C5+C25</f>
        <v>1140.8000000000002</v>
      </c>
      <c r="D36" s="80">
        <f t="shared" si="15"/>
        <v>227.178</v>
      </c>
      <c r="E36" s="80">
        <f t="shared" si="15"/>
        <v>1367.978</v>
      </c>
      <c r="F36" s="81">
        <f t="shared" si="15"/>
        <v>0</v>
      </c>
      <c r="G36" s="81">
        <f>G5+G25</f>
        <v>603.9</v>
      </c>
      <c r="H36" s="81">
        <f t="shared" si="15"/>
        <v>665.9</v>
      </c>
      <c r="I36" s="82">
        <f t="shared" si="1"/>
        <v>0.4867768341303734</v>
      </c>
      <c r="J36" s="82">
        <f t="shared" si="5"/>
        <v>0</v>
      </c>
      <c r="K36" s="81">
        <f>K5+K25</f>
        <v>574.3</v>
      </c>
      <c r="L36" s="82">
        <f t="shared" si="4"/>
        <v>1.1594985199373151</v>
      </c>
      <c r="M36" s="81">
        <f>M5+M25</f>
        <v>62</v>
      </c>
      <c r="N36" s="81">
        <f>N5+N25</f>
        <v>81.69999999999999</v>
      </c>
      <c r="O36" s="82">
        <f t="shared" si="14"/>
        <v>0.758873929008568</v>
      </c>
      <c r="P36" s="81">
        <f>P5+P25</f>
        <v>38.4</v>
      </c>
      <c r="Q36" s="81">
        <f>Q5+Q25</f>
        <v>24.499999999999996</v>
      </c>
      <c r="R36" s="81">
        <f>R5+R25</f>
        <v>23.299999999999997</v>
      </c>
    </row>
    <row r="37" spans="1:18" ht="18">
      <c r="A37" s="9" t="s">
        <v>94</v>
      </c>
      <c r="B37" s="9"/>
      <c r="C37" s="81">
        <f aca="true" t="shared" si="16" ref="C37:H37">C36-C11</f>
        <v>894.3000000000002</v>
      </c>
      <c r="D37" s="80">
        <f t="shared" si="16"/>
        <v>227.178</v>
      </c>
      <c r="E37" s="80">
        <f t="shared" si="16"/>
        <v>1121.478</v>
      </c>
      <c r="F37" s="81">
        <f t="shared" si="16"/>
        <v>0</v>
      </c>
      <c r="G37" s="81">
        <f>G36-G11</f>
        <v>502.79999999999995</v>
      </c>
      <c r="H37" s="81">
        <f t="shared" si="16"/>
        <v>544.0999999999999</v>
      </c>
      <c r="I37" s="82">
        <f>IF(E37&gt;0,H37/E37,0)</f>
        <v>0.4851633291067679</v>
      </c>
      <c r="J37" s="82">
        <f>IF(F37&gt;0,H37/F37,0)</f>
        <v>0</v>
      </c>
      <c r="K37" s="81">
        <f>K36-K11</f>
        <v>458.99999999999994</v>
      </c>
      <c r="L37" s="82">
        <f t="shared" si="4"/>
        <v>1.1854030501089323</v>
      </c>
      <c r="M37" s="81">
        <f>M36-M11</f>
        <v>41.3</v>
      </c>
      <c r="N37" s="81">
        <f>N36-N11</f>
        <v>62.499999999999986</v>
      </c>
      <c r="O37" s="82">
        <f t="shared" si="14"/>
        <v>0.6608</v>
      </c>
      <c r="P37" s="81"/>
      <c r="Q37" s="81"/>
      <c r="R37" s="81"/>
    </row>
    <row r="38" spans="1:18" ht="18">
      <c r="A38" s="13" t="s">
        <v>37</v>
      </c>
      <c r="B38" s="13">
        <v>2000000000</v>
      </c>
      <c r="C38" s="73">
        <v>1109.002</v>
      </c>
      <c r="D38" s="70">
        <f>2</f>
        <v>2</v>
      </c>
      <c r="E38" s="83">
        <f>C38+D38</f>
        <v>1111.002</v>
      </c>
      <c r="F38" s="69"/>
      <c r="G38" s="73">
        <v>577.3</v>
      </c>
      <c r="H38" s="70">
        <f>G38+M38</f>
        <v>634.6999999999999</v>
      </c>
      <c r="I38" s="72">
        <f t="shared" si="1"/>
        <v>0.5712861002950489</v>
      </c>
      <c r="J38" s="72">
        <f t="shared" si="5"/>
        <v>0</v>
      </c>
      <c r="K38" s="73">
        <v>404.5</v>
      </c>
      <c r="L38" s="72">
        <f t="shared" si="4"/>
        <v>1.5690976514215078</v>
      </c>
      <c r="M38" s="73">
        <v>57.4</v>
      </c>
      <c r="N38" s="73">
        <v>75</v>
      </c>
      <c r="O38" s="72">
        <f t="shared" si="14"/>
        <v>0.7653333333333333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>
        <v>25</v>
      </c>
      <c r="D39" s="85">
        <v>369.923</v>
      </c>
      <c r="E39" s="69">
        <f>C39+D39</f>
        <v>394.923</v>
      </c>
      <c r="F39" s="69"/>
      <c r="G39" s="73">
        <v>376.8</v>
      </c>
      <c r="H39" s="70">
        <f>G39+M39</f>
        <v>376.8</v>
      </c>
      <c r="I39" s="72">
        <f>IF(E39&gt;0,H39/E39,0)</f>
        <v>0.9541100417043322</v>
      </c>
      <c r="J39" s="72">
        <f>IF(F39&gt;0,H39/F39,0)</f>
        <v>0</v>
      </c>
      <c r="K39" s="73">
        <v>233.3</v>
      </c>
      <c r="L39" s="72">
        <f t="shared" si="4"/>
        <v>1.6150878696956708</v>
      </c>
      <c r="M39" s="73"/>
      <c r="N39" s="73">
        <v>1.8</v>
      </c>
      <c r="O39" s="72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0">
        <f aca="true" t="shared" si="17" ref="C40:H40">C36+C38+C39</f>
        <v>2274.802</v>
      </c>
      <c r="D40" s="80">
        <f t="shared" si="17"/>
        <v>599.101</v>
      </c>
      <c r="E40" s="80">
        <f t="shared" si="17"/>
        <v>2873.9030000000002</v>
      </c>
      <c r="F40" s="81">
        <f t="shared" si="17"/>
        <v>0</v>
      </c>
      <c r="G40" s="81">
        <f t="shared" si="17"/>
        <v>1557.9999999999998</v>
      </c>
      <c r="H40" s="81">
        <f t="shared" si="17"/>
        <v>1677.3999999999999</v>
      </c>
      <c r="I40" s="82">
        <f t="shared" si="1"/>
        <v>0.5836661849756236</v>
      </c>
      <c r="J40" s="82">
        <f t="shared" si="5"/>
        <v>0</v>
      </c>
      <c r="K40" s="81">
        <f>K36+K38+K39</f>
        <v>1212.1</v>
      </c>
      <c r="L40" s="82">
        <f t="shared" si="4"/>
        <v>1.383879217886313</v>
      </c>
      <c r="M40" s="90">
        <f>M36+M38+M39</f>
        <v>119.4</v>
      </c>
      <c r="N40" s="81">
        <f>N36+N38+N39</f>
        <v>158.5</v>
      </c>
      <c r="O40" s="82">
        <f t="shared" si="14"/>
        <v>0.7533123028391168</v>
      </c>
      <c r="P40" s="81">
        <f>P36+P38</f>
        <v>38.4</v>
      </c>
      <c r="Q40" s="81">
        <f>Q36+Q38</f>
        <v>24.499999999999996</v>
      </c>
      <c r="R40" s="81">
        <f>R36+R38</f>
        <v>23.299999999999997</v>
      </c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5" t="s">
        <v>127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5" t="s">
        <v>3</v>
      </c>
      <c r="B3" s="165" t="s">
        <v>4</v>
      </c>
      <c r="C3" s="165" t="s">
        <v>114</v>
      </c>
      <c r="D3" s="165" t="s">
        <v>24</v>
      </c>
      <c r="E3" s="165" t="s">
        <v>115</v>
      </c>
      <c r="F3" s="165" t="s">
        <v>101</v>
      </c>
      <c r="G3" s="165" t="s">
        <v>118</v>
      </c>
      <c r="H3" s="165" t="s">
        <v>116</v>
      </c>
      <c r="I3" s="165"/>
      <c r="J3" s="165"/>
      <c r="K3" s="165" t="s">
        <v>108</v>
      </c>
      <c r="L3" s="165"/>
      <c r="M3" s="165" t="s">
        <v>121</v>
      </c>
      <c r="N3" s="165" t="s">
        <v>122</v>
      </c>
      <c r="O3" s="165" t="s">
        <v>30</v>
      </c>
      <c r="P3" s="165" t="s">
        <v>9</v>
      </c>
      <c r="Q3" s="165"/>
      <c r="R3" s="165"/>
    </row>
    <row r="4" spans="1:18" ht="93.75" customHeight="1">
      <c r="A4" s="174"/>
      <c r="B4" s="174"/>
      <c r="C4" s="165"/>
      <c r="D4" s="165"/>
      <c r="E4" s="165"/>
      <c r="F4" s="165"/>
      <c r="G4" s="165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5"/>
      <c r="N4" s="165"/>
      <c r="O4" s="165"/>
      <c r="P4" s="124" t="s">
        <v>117</v>
      </c>
      <c r="Q4" s="124" t="s">
        <v>119</v>
      </c>
      <c r="R4" s="124" t="s">
        <v>124</v>
      </c>
    </row>
    <row r="5" spans="1:18" ht="19.5" customHeight="1">
      <c r="A5" s="29" t="s">
        <v>21</v>
      </c>
      <c r="B5" s="29"/>
      <c r="C5" s="91">
        <f aca="true" t="shared" si="0" ref="C5:H5">C6+C16+C18+C23+C24+C11</f>
        <v>1202.5</v>
      </c>
      <c r="D5" s="91">
        <f t="shared" si="0"/>
        <v>507.228</v>
      </c>
      <c r="E5" s="148">
        <f t="shared" si="0"/>
        <v>1709.728</v>
      </c>
      <c r="F5" s="91">
        <f t="shared" si="0"/>
        <v>0</v>
      </c>
      <c r="G5" s="91">
        <f t="shared" si="0"/>
        <v>488.20000000000005</v>
      </c>
      <c r="H5" s="91">
        <f t="shared" si="0"/>
        <v>579.8</v>
      </c>
      <c r="I5" s="92">
        <f aca="true" t="shared" si="1" ref="I5:I41">IF(E5&gt;0,H5/E5,0)</f>
        <v>0.33911826910479326</v>
      </c>
      <c r="J5" s="92">
        <f>IF(F5&gt;0,H5/F5,0)</f>
        <v>0</v>
      </c>
      <c r="K5" s="91">
        <f>K6+K16+K18+K23+K24+K11</f>
        <v>546.3</v>
      </c>
      <c r="L5" s="92">
        <f>IF(K5&gt;0,H5/K5,0)</f>
        <v>1.061321618158521</v>
      </c>
      <c r="M5" s="91">
        <f>M6+M16+M18+M23+M24+M11</f>
        <v>91.60000000000001</v>
      </c>
      <c r="N5" s="91">
        <f>N6+N16+N18+N23+N24+N11</f>
        <v>85.60000000000001</v>
      </c>
      <c r="O5" s="92">
        <f aca="true" t="shared" si="2" ref="O5:O34">IF(N5&gt;0,M5/N5,0)</f>
        <v>1.0700934579439252</v>
      </c>
      <c r="P5" s="91">
        <f>P6+P16+P18+P23+P24+P11</f>
        <v>220.70000000000002</v>
      </c>
      <c r="Q5" s="91">
        <f>Q6+Q16+Q18+Q23+Q24+Q11</f>
        <v>59.7</v>
      </c>
      <c r="R5" s="91">
        <f>R6+R16+R18+R23+R24+R11</f>
        <v>59.50000000000001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531.9</v>
      </c>
      <c r="D6" s="74">
        <f t="shared" si="3"/>
        <v>507.228</v>
      </c>
      <c r="E6" s="74">
        <f t="shared" si="3"/>
        <v>1039.128</v>
      </c>
      <c r="F6" s="74">
        <f t="shared" si="3"/>
        <v>0</v>
      </c>
      <c r="G6" s="74">
        <f t="shared" si="3"/>
        <v>243.4</v>
      </c>
      <c r="H6" s="74">
        <f t="shared" si="3"/>
        <v>286.5</v>
      </c>
      <c r="I6" s="89">
        <f t="shared" si="1"/>
        <v>0.2757119430907453</v>
      </c>
      <c r="J6" s="89">
        <f>IF(F6&gt;0,H6/F6,0)</f>
        <v>0</v>
      </c>
      <c r="K6" s="74">
        <f>K7+K8+K9+K10</f>
        <v>252.1</v>
      </c>
      <c r="L6" s="89">
        <f aca="true" t="shared" si="4" ref="L6:L41">IF(K6&gt;0,H6/K6,0)</f>
        <v>1.136453788179294</v>
      </c>
      <c r="M6" s="74">
        <f>M7+M8+M9+M10</f>
        <v>43.1</v>
      </c>
      <c r="N6" s="74">
        <f>N7+N8+N9+N10</f>
        <v>43.2</v>
      </c>
      <c r="O6" s="89">
        <f t="shared" si="2"/>
        <v>0.9976851851851851</v>
      </c>
      <c r="P6" s="74">
        <f>P7+P8+P9+P10</f>
        <v>0.1</v>
      </c>
      <c r="Q6" s="74">
        <f>Q7+Q8+Q9+Q10</f>
        <v>0.2</v>
      </c>
      <c r="R6" s="74">
        <f>R7+R8+R9+R10</f>
        <v>0.2</v>
      </c>
    </row>
    <row r="7" spans="1:18" ht="18" customHeight="1">
      <c r="A7" s="10" t="s">
        <v>46</v>
      </c>
      <c r="B7" s="13">
        <v>1010201001</v>
      </c>
      <c r="C7" s="73">
        <v>528.3</v>
      </c>
      <c r="D7" s="85">
        <f>507.228</f>
        <v>507.228</v>
      </c>
      <c r="E7" s="73">
        <f>C7+D7</f>
        <v>1035.528</v>
      </c>
      <c r="F7" s="73"/>
      <c r="G7" s="70">
        <v>243.4</v>
      </c>
      <c r="H7" s="70">
        <f>G7+M7</f>
        <v>286.5</v>
      </c>
      <c r="I7" s="79">
        <f t="shared" si="1"/>
        <v>0.27667045217512226</v>
      </c>
      <c r="J7" s="79">
        <f aca="true" t="shared" si="5" ref="J7:J41">IF(F7&gt;0,H7/F7,0)</f>
        <v>0</v>
      </c>
      <c r="K7" s="70">
        <v>243.5</v>
      </c>
      <c r="L7" s="79">
        <f t="shared" si="4"/>
        <v>1.1765913757700206</v>
      </c>
      <c r="M7" s="70">
        <v>43.1</v>
      </c>
      <c r="N7" s="70">
        <v>42.2</v>
      </c>
      <c r="O7" s="79">
        <f t="shared" si="2"/>
        <v>1.0213270142180095</v>
      </c>
      <c r="P7" s="73">
        <v>0.1</v>
      </c>
      <c r="Q7" s="73">
        <v>0.2</v>
      </c>
      <c r="R7" s="73">
        <v>0.2</v>
      </c>
    </row>
    <row r="8" spans="1:18" ht="17.25" customHeight="1">
      <c r="A8" s="10" t="s">
        <v>45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>
        <v>0</v>
      </c>
      <c r="O8" s="79">
        <f>IF(N8&gt;0,M8/N8,0)</f>
        <v>0</v>
      </c>
      <c r="P8" s="73"/>
      <c r="Q8" s="73"/>
      <c r="R8" s="73"/>
    </row>
    <row r="9" spans="1:18" ht="17.25" customHeight="1">
      <c r="A9" s="10" t="s">
        <v>43</v>
      </c>
      <c r="B9" s="13">
        <v>1010203001</v>
      </c>
      <c r="C9" s="73">
        <v>3.6</v>
      </c>
      <c r="D9" s="73"/>
      <c r="E9" s="73">
        <f>C9+D9</f>
        <v>3.6</v>
      </c>
      <c r="F9" s="73"/>
      <c r="G9" s="73"/>
      <c r="H9" s="70">
        <f>G9+M9</f>
        <v>0</v>
      </c>
      <c r="I9" s="79">
        <f t="shared" si="1"/>
        <v>0</v>
      </c>
      <c r="J9" s="79">
        <f t="shared" si="5"/>
        <v>0</v>
      </c>
      <c r="K9" s="73">
        <v>8.6</v>
      </c>
      <c r="L9" s="79">
        <f t="shared" si="4"/>
        <v>0</v>
      </c>
      <c r="M9" s="73"/>
      <c r="N9" s="73">
        <v>1</v>
      </c>
      <c r="O9" s="79">
        <f t="shared" si="2"/>
        <v>0</v>
      </c>
      <c r="P9" s="73"/>
      <c r="Q9" s="73"/>
      <c r="R9" s="73"/>
    </row>
    <row r="10" spans="1:18" ht="0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18" customHeight="1">
      <c r="A11" s="11" t="s">
        <v>50</v>
      </c>
      <c r="B11" s="19">
        <v>1030200001</v>
      </c>
      <c r="C11" s="74">
        <f aca="true" t="shared" si="6" ref="C11:H11">SUM(C12:C15)</f>
        <v>537.6</v>
      </c>
      <c r="D11" s="74">
        <f t="shared" si="6"/>
        <v>0</v>
      </c>
      <c r="E11" s="74">
        <f t="shared" si="6"/>
        <v>537.6</v>
      </c>
      <c r="F11" s="74"/>
      <c r="G11" s="74">
        <f>SUM(G12:G15)</f>
        <v>220.90000000000003</v>
      </c>
      <c r="H11" s="74">
        <f t="shared" si="6"/>
        <v>266.3</v>
      </c>
      <c r="I11" s="68">
        <f t="shared" si="1"/>
        <v>0.4953497023809524</v>
      </c>
      <c r="J11" s="68">
        <f>IF(F11&gt;0,H11/F11,0)</f>
        <v>0</v>
      </c>
      <c r="K11" s="74">
        <f>SUM(K12:K15)</f>
        <v>252</v>
      </c>
      <c r="L11" s="68">
        <f t="shared" si="4"/>
        <v>1.0567460317460318</v>
      </c>
      <c r="M11" s="74">
        <f>SUM(M12:M15)</f>
        <v>45.400000000000006</v>
      </c>
      <c r="N11" s="74">
        <f>SUM(N12:N15)</f>
        <v>41.900000000000006</v>
      </c>
      <c r="O11" s="68">
        <f t="shared" si="2"/>
        <v>1.0835322195704058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51</v>
      </c>
      <c r="B12" s="12">
        <v>1030223001</v>
      </c>
      <c r="C12" s="73">
        <v>189.1</v>
      </c>
      <c r="D12" s="73"/>
      <c r="E12" s="69">
        <f>C12+D12</f>
        <v>189.1</v>
      </c>
      <c r="F12" s="69"/>
      <c r="G12" s="73">
        <v>95.4</v>
      </c>
      <c r="H12" s="71">
        <f>G12+M12</f>
        <v>115.4</v>
      </c>
      <c r="I12" s="72">
        <f t="shared" si="1"/>
        <v>0.6102591221575886</v>
      </c>
      <c r="J12" s="72"/>
      <c r="K12" s="73">
        <v>99.5</v>
      </c>
      <c r="L12" s="72">
        <f t="shared" si="4"/>
        <v>1.1597989949748744</v>
      </c>
      <c r="M12" s="73">
        <v>20</v>
      </c>
      <c r="N12" s="73">
        <v>17.1</v>
      </c>
      <c r="O12" s="72">
        <f t="shared" si="2"/>
        <v>1.1695906432748537</v>
      </c>
      <c r="P12" s="73"/>
      <c r="Q12" s="73"/>
      <c r="R12" s="73"/>
    </row>
    <row r="13" spans="1:18" ht="17.25" customHeight="1">
      <c r="A13" s="12" t="s">
        <v>52</v>
      </c>
      <c r="B13" s="12">
        <v>1030224001</v>
      </c>
      <c r="C13" s="73">
        <v>1.6</v>
      </c>
      <c r="D13" s="73"/>
      <c r="E13" s="69">
        <f>C13+D13</f>
        <v>1.6</v>
      </c>
      <c r="F13" s="69"/>
      <c r="G13" s="73">
        <v>0.7</v>
      </c>
      <c r="H13" s="71">
        <f>G13+M13</f>
        <v>0.8999999999999999</v>
      </c>
      <c r="I13" s="72">
        <f t="shared" si="1"/>
        <v>0.5624999999999999</v>
      </c>
      <c r="J13" s="72"/>
      <c r="K13" s="73">
        <v>1.1</v>
      </c>
      <c r="L13" s="72">
        <f t="shared" si="4"/>
        <v>0.818181818181818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92</v>
      </c>
      <c r="B14" s="12">
        <v>1030225001</v>
      </c>
      <c r="C14" s="73">
        <v>382.3</v>
      </c>
      <c r="D14" s="73"/>
      <c r="E14" s="69">
        <f>C14+D14</f>
        <v>382.3</v>
      </c>
      <c r="F14" s="69"/>
      <c r="G14" s="73">
        <v>144.5</v>
      </c>
      <c r="H14" s="71">
        <f>G14+M14</f>
        <v>174</v>
      </c>
      <c r="I14" s="72">
        <f t="shared" si="1"/>
        <v>0.4551399424535705</v>
      </c>
      <c r="J14" s="72"/>
      <c r="K14" s="73">
        <v>171.6</v>
      </c>
      <c r="L14" s="72">
        <f t="shared" si="4"/>
        <v>1.013986013986014</v>
      </c>
      <c r="M14" s="73">
        <v>29.5</v>
      </c>
      <c r="N14" s="73">
        <v>29.1</v>
      </c>
      <c r="O14" s="72">
        <f t="shared" si="2"/>
        <v>1.013745704467354</v>
      </c>
      <c r="P14" s="73"/>
      <c r="Q14" s="73"/>
      <c r="R14" s="73"/>
    </row>
    <row r="15" spans="1:18" ht="17.25" customHeight="1">
      <c r="A15" s="12" t="s">
        <v>54</v>
      </c>
      <c r="B15" s="12">
        <v>1030226001</v>
      </c>
      <c r="C15" s="73">
        <v>-35.4</v>
      </c>
      <c r="D15" s="73"/>
      <c r="E15" s="69">
        <f>C15+D15</f>
        <v>-35.4</v>
      </c>
      <c r="F15" s="69"/>
      <c r="G15" s="73">
        <v>-19.7</v>
      </c>
      <c r="H15" s="71">
        <f>G15+M15</f>
        <v>-24</v>
      </c>
      <c r="I15" s="72">
        <f>H15/E15</f>
        <v>0.6779661016949153</v>
      </c>
      <c r="J15" s="72"/>
      <c r="K15" s="73">
        <v>-20.2</v>
      </c>
      <c r="L15" s="72">
        <f t="shared" si="4"/>
        <v>0</v>
      </c>
      <c r="M15" s="73">
        <v>-4.3</v>
      </c>
      <c r="N15" s="73">
        <v>-4.5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89">
        <f t="shared" si="1"/>
        <v>0</v>
      </c>
      <c r="J16" s="89">
        <f t="shared" si="5"/>
        <v>0</v>
      </c>
      <c r="K16" s="74">
        <f>K17</f>
        <v>0</v>
      </c>
      <c r="L16" s="89">
        <f t="shared" si="4"/>
        <v>0</v>
      </c>
      <c r="M16" s="74">
        <f>M17</f>
        <v>0</v>
      </c>
      <c r="N16" s="74">
        <f>N17</f>
        <v>0</v>
      </c>
      <c r="O16" s="89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79">
        <f t="shared" si="1"/>
        <v>0</v>
      </c>
      <c r="J17" s="79">
        <f t="shared" si="5"/>
        <v>0</v>
      </c>
      <c r="K17" s="73"/>
      <c r="L17" s="79">
        <f t="shared" si="4"/>
        <v>0</v>
      </c>
      <c r="M17" s="73"/>
      <c r="N17" s="73"/>
      <c r="O17" s="79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130</v>
      </c>
      <c r="D18" s="75">
        <f t="shared" si="8"/>
        <v>0</v>
      </c>
      <c r="E18" s="75">
        <f t="shared" si="8"/>
        <v>130</v>
      </c>
      <c r="F18" s="75">
        <f t="shared" si="8"/>
        <v>0</v>
      </c>
      <c r="G18" s="74">
        <f>G19+G22</f>
        <v>25.4</v>
      </c>
      <c r="H18" s="75">
        <f t="shared" si="8"/>
        <v>25.999999999999996</v>
      </c>
      <c r="I18" s="89">
        <f t="shared" si="1"/>
        <v>0.19999999999999998</v>
      </c>
      <c r="J18" s="89">
        <f t="shared" si="5"/>
        <v>0</v>
      </c>
      <c r="K18" s="74">
        <f>K19+K22</f>
        <v>39.7</v>
      </c>
      <c r="L18" s="89">
        <f t="shared" si="4"/>
        <v>0.6549118387909318</v>
      </c>
      <c r="M18" s="74">
        <f>M19+M22</f>
        <v>0.6000000000000001</v>
      </c>
      <c r="N18" s="74">
        <f>N19+N22</f>
        <v>0.8</v>
      </c>
      <c r="O18" s="89">
        <f t="shared" si="2"/>
        <v>0.7500000000000001</v>
      </c>
      <c r="P18" s="74">
        <f>P19+P22</f>
        <v>220.60000000000002</v>
      </c>
      <c r="Q18" s="74">
        <f>Q19+Q22</f>
        <v>59.5</v>
      </c>
      <c r="R18" s="74">
        <f>R19+R22</f>
        <v>59.300000000000004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102</v>
      </c>
      <c r="D19" s="70">
        <f t="shared" si="9"/>
        <v>0</v>
      </c>
      <c r="E19" s="70">
        <f t="shared" si="9"/>
        <v>102</v>
      </c>
      <c r="F19" s="70">
        <f t="shared" si="9"/>
        <v>0</v>
      </c>
      <c r="G19" s="73">
        <f>G20+G21</f>
        <v>28.9</v>
      </c>
      <c r="H19" s="70">
        <f t="shared" si="9"/>
        <v>29.299999999999997</v>
      </c>
      <c r="I19" s="79">
        <f t="shared" si="1"/>
        <v>0.2872549019607843</v>
      </c>
      <c r="J19" s="79">
        <f t="shared" si="5"/>
        <v>0</v>
      </c>
      <c r="K19" s="73">
        <f>K20+K21</f>
        <v>40.1</v>
      </c>
      <c r="L19" s="79">
        <f t="shared" si="4"/>
        <v>0.7306733167082293</v>
      </c>
      <c r="M19" s="73">
        <f>M20+M21</f>
        <v>0.4</v>
      </c>
      <c r="N19" s="73">
        <f>N20+N21</f>
        <v>0.5</v>
      </c>
      <c r="O19" s="79">
        <f t="shared" si="2"/>
        <v>0.8</v>
      </c>
      <c r="P19" s="73">
        <f>P20+P21</f>
        <v>54.800000000000004</v>
      </c>
      <c r="Q19" s="73">
        <f>Q20+Q21</f>
        <v>53.6</v>
      </c>
      <c r="R19" s="73">
        <f>R20+R21</f>
        <v>53.400000000000006</v>
      </c>
    </row>
    <row r="20" spans="1:18" ht="18">
      <c r="A20" s="13" t="s">
        <v>102</v>
      </c>
      <c r="B20" s="13">
        <v>1060603310</v>
      </c>
      <c r="C20" s="73">
        <v>66</v>
      </c>
      <c r="D20" s="70"/>
      <c r="E20" s="73">
        <f>C20+D20</f>
        <v>66</v>
      </c>
      <c r="F20" s="73"/>
      <c r="G20" s="73">
        <v>19.4</v>
      </c>
      <c r="H20" s="70">
        <f>G20+M20</f>
        <v>19.4</v>
      </c>
      <c r="I20" s="79">
        <f t="shared" si="1"/>
        <v>0.29393939393939394</v>
      </c>
      <c r="J20" s="79">
        <f t="shared" si="5"/>
        <v>0</v>
      </c>
      <c r="K20" s="73">
        <v>36.9</v>
      </c>
      <c r="L20" s="79">
        <f t="shared" si="4"/>
        <v>0.5257452574525745</v>
      </c>
      <c r="M20" s="73"/>
      <c r="N20" s="73">
        <v>0</v>
      </c>
      <c r="O20" s="79">
        <f t="shared" si="2"/>
        <v>0</v>
      </c>
      <c r="P20" s="73">
        <v>16.1</v>
      </c>
      <c r="Q20" s="73">
        <v>32.1</v>
      </c>
      <c r="R20" s="73">
        <v>32.1</v>
      </c>
    </row>
    <row r="21" spans="1:18" ht="18">
      <c r="A21" s="13" t="s">
        <v>103</v>
      </c>
      <c r="B21" s="13">
        <v>1060604310</v>
      </c>
      <c r="C21" s="73">
        <v>36</v>
      </c>
      <c r="D21" s="70"/>
      <c r="E21" s="73">
        <f>C21+D21</f>
        <v>36</v>
      </c>
      <c r="F21" s="73"/>
      <c r="G21" s="73">
        <v>9.5</v>
      </c>
      <c r="H21" s="70">
        <f>G21+M21</f>
        <v>9.9</v>
      </c>
      <c r="I21" s="79">
        <f t="shared" si="1"/>
        <v>0.275</v>
      </c>
      <c r="J21" s="79">
        <f t="shared" si="5"/>
        <v>0</v>
      </c>
      <c r="K21" s="73">
        <v>3.2</v>
      </c>
      <c r="L21" s="79">
        <f t="shared" si="4"/>
        <v>3.09375</v>
      </c>
      <c r="M21" s="73">
        <v>0.4</v>
      </c>
      <c r="N21" s="73">
        <v>0.5</v>
      </c>
      <c r="O21" s="79">
        <f t="shared" si="2"/>
        <v>0.8</v>
      </c>
      <c r="P21" s="73">
        <v>38.7</v>
      </c>
      <c r="Q21" s="73">
        <v>21.5</v>
      </c>
      <c r="R21" s="73">
        <v>21.3</v>
      </c>
    </row>
    <row r="22" spans="1:19" ht="18">
      <c r="A22" s="13" t="s">
        <v>12</v>
      </c>
      <c r="B22" s="13">
        <v>1060103010</v>
      </c>
      <c r="C22" s="73">
        <v>28</v>
      </c>
      <c r="D22" s="70"/>
      <c r="E22" s="73">
        <f>C22+D22</f>
        <v>28</v>
      </c>
      <c r="F22" s="73"/>
      <c r="G22" s="73">
        <v>-3.5</v>
      </c>
      <c r="H22" s="70">
        <f>G22+M22</f>
        <v>-3.3</v>
      </c>
      <c r="I22" s="79">
        <f t="shared" si="1"/>
        <v>-0.11785714285714285</v>
      </c>
      <c r="J22" s="79">
        <f t="shared" si="5"/>
        <v>0</v>
      </c>
      <c r="K22" s="73">
        <v>-0.4</v>
      </c>
      <c r="L22" s="79">
        <f t="shared" si="4"/>
        <v>0</v>
      </c>
      <c r="M22" s="73">
        <v>0.2</v>
      </c>
      <c r="N22" s="73">
        <v>0.3</v>
      </c>
      <c r="O22" s="79">
        <f t="shared" si="2"/>
        <v>0.6666666666666667</v>
      </c>
      <c r="P22" s="73">
        <v>165.8</v>
      </c>
      <c r="Q22" s="73">
        <v>5.9</v>
      </c>
      <c r="R22" s="73">
        <v>5.9</v>
      </c>
      <c r="S22" s="134"/>
    </row>
    <row r="23" spans="1:18" ht="18">
      <c r="A23" s="9" t="s">
        <v>74</v>
      </c>
      <c r="B23" s="30">
        <v>1080402001</v>
      </c>
      <c r="C23" s="74">
        <v>3</v>
      </c>
      <c r="D23" s="75"/>
      <c r="E23" s="74">
        <f>C23+D23</f>
        <v>3</v>
      </c>
      <c r="F23" s="74"/>
      <c r="G23" s="74">
        <v>-1.5</v>
      </c>
      <c r="H23" s="75">
        <f>G23+M23</f>
        <v>1</v>
      </c>
      <c r="I23" s="89">
        <f t="shared" si="1"/>
        <v>0.3333333333333333</v>
      </c>
      <c r="J23" s="89">
        <f t="shared" si="5"/>
        <v>0</v>
      </c>
      <c r="K23" s="74">
        <v>2.5</v>
      </c>
      <c r="L23" s="89">
        <f t="shared" si="4"/>
        <v>0.4</v>
      </c>
      <c r="M23" s="74">
        <v>2.5</v>
      </c>
      <c r="N23" s="74">
        <v>-0.3</v>
      </c>
      <c r="O23" s="89">
        <f t="shared" si="2"/>
        <v>0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8">
        <f aca="true" t="shared" si="10" ref="C25:H25">C26+C30+C34+C32+C33+C31</f>
        <v>110.6</v>
      </c>
      <c r="D25" s="88">
        <f t="shared" si="10"/>
        <v>0</v>
      </c>
      <c r="E25" s="88">
        <f t="shared" si="10"/>
        <v>110.6</v>
      </c>
      <c r="F25" s="88">
        <f t="shared" si="10"/>
        <v>0</v>
      </c>
      <c r="G25" s="88">
        <f>G26+G30+G34+G32+G33+G31</f>
        <v>42.900000000000006</v>
      </c>
      <c r="H25" s="88">
        <f t="shared" si="10"/>
        <v>59.2</v>
      </c>
      <c r="I25" s="92">
        <f t="shared" si="1"/>
        <v>0.5352622061482821</v>
      </c>
      <c r="J25" s="92">
        <f t="shared" si="5"/>
        <v>0</v>
      </c>
      <c r="K25" s="88">
        <f>K26+K30+K34+K32+K33+K31</f>
        <v>65.8</v>
      </c>
      <c r="L25" s="92">
        <f t="shared" si="4"/>
        <v>0.899696048632219</v>
      </c>
      <c r="M25" s="88">
        <f>M26+M30+M34+M32+M33+M31</f>
        <v>16.3</v>
      </c>
      <c r="N25" s="88">
        <f>N26+N30+N34+N32+N33+N31</f>
        <v>4.5</v>
      </c>
      <c r="O25" s="92">
        <f t="shared" si="2"/>
        <v>3.6222222222222222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C27+C29+C28</f>
        <v>47</v>
      </c>
      <c r="D26" s="74">
        <f t="shared" si="11"/>
        <v>0</v>
      </c>
      <c r="E26" s="74">
        <f t="shared" si="11"/>
        <v>47</v>
      </c>
      <c r="F26" s="74">
        <f t="shared" si="11"/>
        <v>0</v>
      </c>
      <c r="G26" s="74">
        <f>G27+G29+G28</f>
        <v>20.8</v>
      </c>
      <c r="H26" s="74">
        <f t="shared" si="11"/>
        <v>24.9</v>
      </c>
      <c r="I26" s="89">
        <f t="shared" si="1"/>
        <v>0.5297872340425531</v>
      </c>
      <c r="J26" s="89">
        <f t="shared" si="5"/>
        <v>0</v>
      </c>
      <c r="K26" s="74">
        <f>K27+K29+K28</f>
        <v>27.1</v>
      </c>
      <c r="L26" s="89">
        <f t="shared" si="4"/>
        <v>0.9188191881918818</v>
      </c>
      <c r="M26" s="74">
        <f>M27+M29+M28</f>
        <v>4.1</v>
      </c>
      <c r="N26" s="74">
        <f>N27+N29+N28</f>
        <v>4.5</v>
      </c>
      <c r="O26" s="89">
        <f t="shared" si="2"/>
        <v>0.911111111111111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0.75" customHeight="1">
      <c r="A27" s="13" t="s">
        <v>26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21" customHeight="1" hidden="1">
      <c r="A28" s="13" t="s">
        <v>27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79">
        <f t="shared" si="1"/>
        <v>0</v>
      </c>
      <c r="J28" s="79">
        <f t="shared" si="5"/>
        <v>0</v>
      </c>
      <c r="K28" s="73"/>
      <c r="L28" s="79">
        <f t="shared" si="4"/>
        <v>0</v>
      </c>
      <c r="M28" s="73"/>
      <c r="N28" s="73"/>
      <c r="O28" s="79">
        <f t="shared" si="2"/>
        <v>0</v>
      </c>
      <c r="P28" s="73"/>
      <c r="Q28" s="73"/>
      <c r="R28" s="73"/>
    </row>
    <row r="29" spans="1:18" ht="22.5" customHeight="1">
      <c r="A29" s="33" t="s">
        <v>23</v>
      </c>
      <c r="B29" s="13">
        <v>1110904510</v>
      </c>
      <c r="C29" s="73">
        <v>47</v>
      </c>
      <c r="D29" s="70"/>
      <c r="E29" s="73">
        <f t="shared" si="12"/>
        <v>47</v>
      </c>
      <c r="F29" s="73"/>
      <c r="G29" s="73">
        <v>20.8</v>
      </c>
      <c r="H29" s="70">
        <f t="shared" si="13"/>
        <v>24.9</v>
      </c>
      <c r="I29" s="79">
        <f t="shared" si="1"/>
        <v>0.5297872340425531</v>
      </c>
      <c r="J29" s="79">
        <f t="shared" si="5"/>
        <v>0</v>
      </c>
      <c r="K29" s="73">
        <v>27.1</v>
      </c>
      <c r="L29" s="79">
        <f t="shared" si="4"/>
        <v>0.9188191881918818</v>
      </c>
      <c r="M29" s="73">
        <v>4.1</v>
      </c>
      <c r="N29" s="73">
        <v>4.5</v>
      </c>
      <c r="O29" s="79">
        <f t="shared" si="2"/>
        <v>0.911111111111111</v>
      </c>
      <c r="P29" s="73"/>
      <c r="Q29" s="73"/>
      <c r="R29" s="73"/>
    </row>
    <row r="30" spans="1:18" ht="18">
      <c r="A30" s="9" t="s">
        <v>39</v>
      </c>
      <c r="B30" s="30">
        <v>1130299510</v>
      </c>
      <c r="C30" s="74">
        <v>63.6</v>
      </c>
      <c r="D30" s="74"/>
      <c r="E30" s="74">
        <f t="shared" si="12"/>
        <v>63.6</v>
      </c>
      <c r="F30" s="74"/>
      <c r="G30" s="74">
        <v>22.1</v>
      </c>
      <c r="H30" s="75">
        <f t="shared" si="13"/>
        <v>34.2</v>
      </c>
      <c r="I30" s="89">
        <f t="shared" si="1"/>
        <v>0.5377358490566038</v>
      </c>
      <c r="J30" s="89">
        <f t="shared" si="5"/>
        <v>0</v>
      </c>
      <c r="K30" s="74">
        <v>38.6</v>
      </c>
      <c r="L30" s="89">
        <f t="shared" si="4"/>
        <v>0.8860103626943006</v>
      </c>
      <c r="M30" s="74">
        <v>12.1</v>
      </c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47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 t="shared" si="1"/>
        <v>0</v>
      </c>
      <c r="J31" s="89"/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80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89">
        <f t="shared" si="1"/>
        <v>0</v>
      </c>
      <c r="J32" s="89">
        <f t="shared" si="5"/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79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89">
        <f>IF(E33&gt;0,H33/E33,0)</f>
        <v>0</v>
      </c>
      <c r="J33" s="89">
        <f>IF(F33&gt;0,H33/F33,0)</f>
        <v>0</v>
      </c>
      <c r="K33" s="74"/>
      <c r="L33" s="89">
        <f t="shared" si="4"/>
        <v>0</v>
      </c>
      <c r="M33" s="74"/>
      <c r="N33" s="74"/>
      <c r="O33" s="89">
        <f t="shared" si="2"/>
        <v>0</v>
      </c>
      <c r="P33" s="74"/>
      <c r="Q33" s="74"/>
      <c r="R33" s="74"/>
    </row>
    <row r="34" spans="1:18" ht="18">
      <c r="A34" s="9" t="s">
        <v>71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</v>
      </c>
      <c r="H34" s="75">
        <f t="shared" si="14"/>
        <v>0.1</v>
      </c>
      <c r="I34" s="89">
        <f>IF(E34&gt;0,H34/E34,0)</f>
        <v>0</v>
      </c>
      <c r="J34" s="89">
        <f>IF(F34&gt;0,H34/F34,0)</f>
        <v>0</v>
      </c>
      <c r="K34" s="75">
        <f>SUM(K35:K36)</f>
        <v>0.1</v>
      </c>
      <c r="L34" s="89">
        <f t="shared" si="4"/>
        <v>1</v>
      </c>
      <c r="M34" s="75">
        <f>SUM(M35:M36)</f>
        <v>0.1</v>
      </c>
      <c r="N34" s="75">
        <f>SUM(N35:N36)</f>
        <v>0</v>
      </c>
      <c r="O34" s="89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79">
        <f t="shared" si="1"/>
        <v>0</v>
      </c>
      <c r="J35" s="79">
        <f t="shared" si="5"/>
        <v>0</v>
      </c>
      <c r="K35" s="73"/>
      <c r="L35" s="79">
        <f t="shared" si="4"/>
        <v>0</v>
      </c>
      <c r="M35" s="73"/>
      <c r="N35" s="73"/>
      <c r="O35" s="79">
        <f aca="true" t="shared" si="15" ref="O35:O41">IF(N35&gt;0,M35/N35,0)</f>
        <v>0</v>
      </c>
      <c r="P35" s="79"/>
      <c r="Q35" s="79"/>
      <c r="R35" s="79"/>
    </row>
    <row r="36" spans="1:18" ht="18">
      <c r="A36" s="13" t="s">
        <v>34</v>
      </c>
      <c r="B36" s="13">
        <v>1170505010</v>
      </c>
      <c r="C36" s="73"/>
      <c r="D36" s="70"/>
      <c r="E36" s="73">
        <f>C36+D36</f>
        <v>0</v>
      </c>
      <c r="F36" s="73"/>
      <c r="G36" s="73"/>
      <c r="H36" s="70">
        <f>G36+M36</f>
        <v>0.1</v>
      </c>
      <c r="I36" s="79">
        <f>IF(E36&gt;0,H36/E36,0)</f>
        <v>0</v>
      </c>
      <c r="J36" s="79">
        <f>IF(F36&gt;0,H36/F36,0)</f>
        <v>0</v>
      </c>
      <c r="K36" s="73">
        <v>0.1</v>
      </c>
      <c r="L36" s="79">
        <f>IF(K36&gt;0,H36/K36,0)</f>
        <v>1</v>
      </c>
      <c r="M36" s="73">
        <v>0.1</v>
      </c>
      <c r="N36" s="73"/>
      <c r="O36" s="79">
        <f t="shared" si="15"/>
        <v>0</v>
      </c>
      <c r="P36" s="73"/>
      <c r="Q36" s="73"/>
      <c r="R36" s="73"/>
    </row>
    <row r="37" spans="1:19" ht="18">
      <c r="A37" s="9" t="s">
        <v>6</v>
      </c>
      <c r="B37" s="9">
        <v>1000000000</v>
      </c>
      <c r="C37" s="81">
        <f aca="true" t="shared" si="16" ref="C37:H37">C5+C25</f>
        <v>1313.1</v>
      </c>
      <c r="D37" s="80">
        <f t="shared" si="16"/>
        <v>507.228</v>
      </c>
      <c r="E37" s="80">
        <f t="shared" si="16"/>
        <v>1820.328</v>
      </c>
      <c r="F37" s="81">
        <f t="shared" si="16"/>
        <v>0</v>
      </c>
      <c r="G37" s="81">
        <f>G5+G25</f>
        <v>531.1</v>
      </c>
      <c r="H37" s="81">
        <f t="shared" si="16"/>
        <v>639</v>
      </c>
      <c r="I37" s="93">
        <f t="shared" si="1"/>
        <v>0.3510356375334555</v>
      </c>
      <c r="J37" s="93">
        <f t="shared" si="5"/>
        <v>0</v>
      </c>
      <c r="K37" s="81">
        <f>K5+K25</f>
        <v>612.0999999999999</v>
      </c>
      <c r="L37" s="93">
        <f t="shared" si="4"/>
        <v>1.0439470674726354</v>
      </c>
      <c r="M37" s="81">
        <f>M5+M25</f>
        <v>107.9</v>
      </c>
      <c r="N37" s="81">
        <f>N5+N25</f>
        <v>90.10000000000001</v>
      </c>
      <c r="O37" s="93">
        <f t="shared" si="15"/>
        <v>1.197558268590455</v>
      </c>
      <c r="P37" s="81">
        <f>P5+P25</f>
        <v>220.70000000000002</v>
      </c>
      <c r="Q37" s="81">
        <f>Q5+Q25</f>
        <v>59.7</v>
      </c>
      <c r="R37" s="81">
        <f>R5+R25</f>
        <v>59.50000000000001</v>
      </c>
      <c r="S37" s="139"/>
    </row>
    <row r="38" spans="1:18" ht="18">
      <c r="A38" s="9" t="s">
        <v>94</v>
      </c>
      <c r="B38" s="9"/>
      <c r="C38" s="81">
        <f aca="true" t="shared" si="17" ref="C38:H38">C37-C11</f>
        <v>775.4999999999999</v>
      </c>
      <c r="D38" s="80">
        <f t="shared" si="17"/>
        <v>507.228</v>
      </c>
      <c r="E38" s="80">
        <f t="shared" si="17"/>
        <v>1282.728</v>
      </c>
      <c r="F38" s="81">
        <f t="shared" si="17"/>
        <v>0</v>
      </c>
      <c r="G38" s="81">
        <f>G37-G11</f>
        <v>310.2</v>
      </c>
      <c r="H38" s="81">
        <f t="shared" si="17"/>
        <v>372.7</v>
      </c>
      <c r="I38" s="93">
        <f>IF(E38&gt;0,H38/E38,0)</f>
        <v>0.29055263469730136</v>
      </c>
      <c r="J38" s="93">
        <f>IF(F38&gt;0,H38/F38,0)</f>
        <v>0</v>
      </c>
      <c r="K38" s="81">
        <f>K37-K11</f>
        <v>360.0999999999999</v>
      </c>
      <c r="L38" s="93">
        <f t="shared" si="4"/>
        <v>1.0349902804776454</v>
      </c>
      <c r="M38" s="81">
        <f>M37-M11</f>
        <v>62.5</v>
      </c>
      <c r="N38" s="81">
        <f>N37-N11</f>
        <v>48.2</v>
      </c>
      <c r="O38" s="93">
        <f t="shared" si="15"/>
        <v>1.296680497925311</v>
      </c>
      <c r="P38" s="81"/>
      <c r="Q38" s="81"/>
      <c r="R38" s="81"/>
    </row>
    <row r="39" spans="1:18" ht="18">
      <c r="A39" s="13" t="s">
        <v>25</v>
      </c>
      <c r="B39" s="13">
        <v>2000000000</v>
      </c>
      <c r="C39" s="73">
        <v>1618.47</v>
      </c>
      <c r="D39" s="84"/>
      <c r="E39" s="73">
        <f>C39+D39</f>
        <v>1618.47</v>
      </c>
      <c r="F39" s="73"/>
      <c r="G39" s="73">
        <v>684.2</v>
      </c>
      <c r="H39" s="70">
        <f>G39+M39</f>
        <v>820.5</v>
      </c>
      <c r="I39" s="79">
        <f t="shared" si="1"/>
        <v>0.5069602772989305</v>
      </c>
      <c r="J39" s="79">
        <f t="shared" si="5"/>
        <v>0</v>
      </c>
      <c r="K39" s="73">
        <v>501.2</v>
      </c>
      <c r="L39" s="79">
        <f t="shared" si="4"/>
        <v>1.6370710295291302</v>
      </c>
      <c r="M39" s="73">
        <v>136.3</v>
      </c>
      <c r="N39" s="73">
        <v>118.7</v>
      </c>
      <c r="O39" s="79">
        <f t="shared" si="15"/>
        <v>1.148272957034541</v>
      </c>
      <c r="P39" s="73"/>
      <c r="Q39" s="73"/>
      <c r="R39" s="73"/>
    </row>
    <row r="40" spans="1:18" ht="18">
      <c r="A40" s="13" t="s">
        <v>49</v>
      </c>
      <c r="B40" s="34" t="s">
        <v>38</v>
      </c>
      <c r="C40" s="73"/>
      <c r="D40" s="84">
        <v>195</v>
      </c>
      <c r="E40" s="73">
        <f>C40+D40</f>
        <v>195</v>
      </c>
      <c r="F40" s="73"/>
      <c r="G40" s="73">
        <v>195</v>
      </c>
      <c r="H40" s="70">
        <f>G40+M40</f>
        <v>195</v>
      </c>
      <c r="I40" s="79">
        <f t="shared" si="1"/>
        <v>1</v>
      </c>
      <c r="J40" s="79"/>
      <c r="K40" s="73"/>
      <c r="L40" s="79">
        <f t="shared" si="4"/>
        <v>0</v>
      </c>
      <c r="M40" s="73"/>
      <c r="N40" s="73"/>
      <c r="O40" s="79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0">
        <f>C37+C39+C40</f>
        <v>2931.5699999999997</v>
      </c>
      <c r="D41" s="80">
        <f>D37+D39+D40</f>
        <v>702.2280000000001</v>
      </c>
      <c r="E41" s="80">
        <f>E37+E39+E40</f>
        <v>3633.798</v>
      </c>
      <c r="F41" s="90">
        <f>F37+F39</f>
        <v>0</v>
      </c>
      <c r="G41" s="81">
        <f>G37+G39+G40</f>
        <v>1410.3000000000002</v>
      </c>
      <c r="H41" s="81">
        <f>H37+H39+H40</f>
        <v>1654.5</v>
      </c>
      <c r="I41" s="93">
        <f t="shared" si="1"/>
        <v>0.45530874308368274</v>
      </c>
      <c r="J41" s="93">
        <f t="shared" si="5"/>
        <v>0</v>
      </c>
      <c r="K41" s="81">
        <f>K37+K39+K40</f>
        <v>1113.3</v>
      </c>
      <c r="L41" s="93">
        <f t="shared" si="4"/>
        <v>1.4861223389921854</v>
      </c>
      <c r="M41" s="81">
        <f>M37+M39+M40</f>
        <v>244.20000000000002</v>
      </c>
      <c r="N41" s="81">
        <f>N37+N39+N40</f>
        <v>208.8</v>
      </c>
      <c r="O41" s="93">
        <f t="shared" si="15"/>
        <v>1.1695402298850575</v>
      </c>
      <c r="P41" s="94">
        <f>P37+P39</f>
        <v>220.70000000000002</v>
      </c>
      <c r="Q41" s="81">
        <f>Q37+Q39</f>
        <v>59.7</v>
      </c>
      <c r="R41" s="81">
        <f>R37+R39</f>
        <v>59.50000000000001</v>
      </c>
    </row>
    <row r="42" ht="18">
      <c r="I42" s="162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1.2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9.75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5" t="s">
        <v>128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5" t="s">
        <v>3</v>
      </c>
      <c r="B3" s="165" t="s">
        <v>4</v>
      </c>
      <c r="C3" s="165" t="s">
        <v>114</v>
      </c>
      <c r="D3" s="165" t="s">
        <v>24</v>
      </c>
      <c r="E3" s="165" t="s">
        <v>115</v>
      </c>
      <c r="F3" s="165" t="s">
        <v>101</v>
      </c>
      <c r="G3" s="165" t="s">
        <v>118</v>
      </c>
      <c r="H3" s="165" t="s">
        <v>116</v>
      </c>
      <c r="I3" s="165"/>
      <c r="J3" s="165"/>
      <c r="K3" s="165" t="s">
        <v>108</v>
      </c>
      <c r="L3" s="165"/>
      <c r="M3" s="165" t="s">
        <v>121</v>
      </c>
      <c r="N3" s="165" t="s">
        <v>122</v>
      </c>
      <c r="O3" s="165" t="s">
        <v>30</v>
      </c>
      <c r="P3" s="165" t="s">
        <v>9</v>
      </c>
      <c r="Q3" s="165"/>
      <c r="R3" s="165"/>
    </row>
    <row r="4" spans="1:18" ht="93.75" customHeight="1">
      <c r="A4" s="174"/>
      <c r="B4" s="174"/>
      <c r="C4" s="165"/>
      <c r="D4" s="165"/>
      <c r="E4" s="165"/>
      <c r="F4" s="165"/>
      <c r="G4" s="165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5"/>
      <c r="N4" s="165"/>
      <c r="O4" s="165"/>
      <c r="P4" s="124" t="s">
        <v>117</v>
      </c>
      <c r="Q4" s="124" t="s">
        <v>119</v>
      </c>
      <c r="R4" s="124" t="s">
        <v>124</v>
      </c>
    </row>
    <row r="5" spans="1:18" ht="17.25" customHeight="1">
      <c r="A5" s="29" t="s">
        <v>21</v>
      </c>
      <c r="B5" s="29"/>
      <c r="C5" s="91">
        <f aca="true" t="shared" si="0" ref="C5:H5">C6+C16+C18+C23+C24+C11</f>
        <v>1601.8</v>
      </c>
      <c r="D5" s="91">
        <f t="shared" si="0"/>
        <v>549.79</v>
      </c>
      <c r="E5" s="91">
        <f t="shared" si="0"/>
        <v>2151.59</v>
      </c>
      <c r="F5" s="91">
        <f t="shared" si="0"/>
        <v>0</v>
      </c>
      <c r="G5" s="91">
        <f t="shared" si="0"/>
        <v>548.4000000000001</v>
      </c>
      <c r="H5" s="91">
        <f t="shared" si="0"/>
        <v>652.6000000000001</v>
      </c>
      <c r="I5" s="92">
        <f aca="true" t="shared" si="1" ref="I5:I40">IF(E5&gt;0,H5/E5,0)</f>
        <v>0.3033105749701384</v>
      </c>
      <c r="J5" s="92">
        <f>IF(F5&gt;0,H5/F5,0)</f>
        <v>0</v>
      </c>
      <c r="K5" s="91">
        <f>K6+K16+K18+K23+K24+K11</f>
        <v>648.7</v>
      </c>
      <c r="L5" s="92">
        <f>IF(K5&gt;0,H5/K5,0)</f>
        <v>1.0060120240480963</v>
      </c>
      <c r="M5" s="91">
        <f>M6+M16+M18+M23+M24+M11</f>
        <v>104.2</v>
      </c>
      <c r="N5" s="91">
        <f>N6+N16+N18+N23+N24+N11</f>
        <v>126.1</v>
      </c>
      <c r="O5" s="92">
        <f aca="true" t="shared" si="2" ref="O5:O40">IF(N5&gt;0,M5/N5,0)</f>
        <v>0.8263283108643934</v>
      </c>
      <c r="P5" s="91">
        <f>P6+P16+P18+P23+P24+P11</f>
        <v>138.2</v>
      </c>
      <c r="Q5" s="91">
        <f>Q6+Q16+Q18+Q23+Q24+Q11</f>
        <v>101.7</v>
      </c>
      <c r="R5" s="91">
        <f>R6+R16+R18+R23+R24+R11</f>
        <v>99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679.7</v>
      </c>
      <c r="D6" s="74">
        <f t="shared" si="3"/>
        <v>439.79</v>
      </c>
      <c r="E6" s="74">
        <f t="shared" si="3"/>
        <v>1119.49</v>
      </c>
      <c r="F6" s="74">
        <f t="shared" si="3"/>
        <v>0</v>
      </c>
      <c r="G6" s="74">
        <f t="shared" si="3"/>
        <v>291.40000000000003</v>
      </c>
      <c r="H6" s="74">
        <f t="shared" si="3"/>
        <v>350.20000000000005</v>
      </c>
      <c r="I6" s="89">
        <f t="shared" si="1"/>
        <v>0.3128210167129675</v>
      </c>
      <c r="J6" s="89">
        <f>IF(F6&gt;0,H6/F6,0)</f>
        <v>0</v>
      </c>
      <c r="K6" s="95">
        <f>SUM(K7:K10)</f>
        <v>359.20000000000005</v>
      </c>
      <c r="L6" s="89">
        <f aca="true" t="shared" si="4" ref="L6:L40">IF(K6&gt;0,H6/K6,0)</f>
        <v>0.9749443207126949</v>
      </c>
      <c r="M6" s="74">
        <f>M7+M8+M9+M10</f>
        <v>58.8</v>
      </c>
      <c r="N6" s="74">
        <f>N7+N8+N9+N10</f>
        <v>59.7</v>
      </c>
      <c r="O6" s="89">
        <f t="shared" si="2"/>
        <v>0.9849246231155778</v>
      </c>
      <c r="P6" s="74">
        <f>P7+P8+P9+P10</f>
        <v>14.8</v>
      </c>
      <c r="Q6" s="74">
        <f>Q7+Q8+Q9+Q10</f>
        <v>1.3</v>
      </c>
      <c r="R6" s="74">
        <f>R7+R8+R9+R10</f>
        <v>1.7</v>
      </c>
    </row>
    <row r="7" spans="1:20" ht="21" customHeight="1">
      <c r="A7" s="10" t="s">
        <v>46</v>
      </c>
      <c r="B7" s="13">
        <v>1010201001</v>
      </c>
      <c r="C7" s="73">
        <v>679.1</v>
      </c>
      <c r="D7" s="85">
        <f>439.79</f>
        <v>439.79</v>
      </c>
      <c r="E7" s="73">
        <f>C7+D7</f>
        <v>1118.89</v>
      </c>
      <c r="F7" s="73"/>
      <c r="G7" s="70">
        <v>288.6</v>
      </c>
      <c r="H7" s="70">
        <f>G7+M7</f>
        <v>345.90000000000003</v>
      </c>
      <c r="I7" s="79">
        <f t="shared" si="1"/>
        <v>0.3091456711562352</v>
      </c>
      <c r="J7" s="79">
        <f aca="true" t="shared" si="5" ref="J7:J38">IF(F7&gt;0,H7/F7,0)</f>
        <v>0</v>
      </c>
      <c r="K7" s="70">
        <v>359.1</v>
      </c>
      <c r="L7" s="79">
        <f t="shared" si="4"/>
        <v>0.9632414369256475</v>
      </c>
      <c r="M7" s="70">
        <v>57.3</v>
      </c>
      <c r="N7" s="70">
        <v>59.6</v>
      </c>
      <c r="O7" s="79">
        <f t="shared" si="2"/>
        <v>0.9614093959731543</v>
      </c>
      <c r="P7" s="73">
        <v>14.8</v>
      </c>
      <c r="Q7" s="73">
        <v>1.3</v>
      </c>
      <c r="R7" s="73">
        <v>1.7</v>
      </c>
      <c r="T7" s="132"/>
    </row>
    <row r="8" spans="1:18" ht="18" customHeight="1">
      <c r="A8" s="10" t="s">
        <v>45</v>
      </c>
      <c r="B8" s="13">
        <v>1010202001</v>
      </c>
      <c r="C8" s="73">
        <v>0.1</v>
      </c>
      <c r="D8" s="70"/>
      <c r="E8" s="73">
        <f>C8+D8</f>
        <v>0.1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 t="shared" si="2"/>
        <v>0</v>
      </c>
      <c r="P8" s="73"/>
      <c r="Q8" s="73"/>
      <c r="R8" s="73"/>
    </row>
    <row r="9" spans="1:18" ht="20.25" customHeight="1">
      <c r="A9" s="10" t="s">
        <v>43</v>
      </c>
      <c r="B9" s="13">
        <v>1010203001</v>
      </c>
      <c r="C9" s="73">
        <v>0.5</v>
      </c>
      <c r="D9" s="73"/>
      <c r="E9" s="73">
        <f>C9+D9</f>
        <v>0.5</v>
      </c>
      <c r="F9" s="73"/>
      <c r="G9" s="73">
        <v>2.8</v>
      </c>
      <c r="H9" s="70">
        <f>G9+M9</f>
        <v>4.3</v>
      </c>
      <c r="I9" s="79">
        <f t="shared" si="1"/>
        <v>8.6</v>
      </c>
      <c r="J9" s="79">
        <f t="shared" si="5"/>
        <v>0</v>
      </c>
      <c r="K9" s="73">
        <v>0.1</v>
      </c>
      <c r="L9" s="79">
        <f t="shared" si="4"/>
        <v>42.99999999999999</v>
      </c>
      <c r="M9" s="73">
        <v>1.5</v>
      </c>
      <c r="N9" s="73">
        <v>0.1</v>
      </c>
      <c r="O9" s="79">
        <f t="shared" si="2"/>
        <v>15</v>
      </c>
      <c r="P9" s="73"/>
      <c r="Q9" s="73"/>
      <c r="R9" s="73"/>
    </row>
    <row r="10" spans="1:18" ht="1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16.5" customHeight="1">
      <c r="A11" s="11" t="s">
        <v>50</v>
      </c>
      <c r="B11" s="19">
        <v>1030200001</v>
      </c>
      <c r="C11" s="74">
        <f aca="true" t="shared" si="6" ref="C11:H11">SUM(C12:C15)</f>
        <v>475.59999999999997</v>
      </c>
      <c r="D11" s="74">
        <f t="shared" si="6"/>
        <v>0</v>
      </c>
      <c r="E11" s="74">
        <f t="shared" si="6"/>
        <v>475.59999999999997</v>
      </c>
      <c r="F11" s="74"/>
      <c r="G11" s="74">
        <f>SUM(G12:G15)</f>
        <v>195.89999999999998</v>
      </c>
      <c r="H11" s="74">
        <f t="shared" si="6"/>
        <v>236.2</v>
      </c>
      <c r="I11" s="68">
        <f t="shared" si="1"/>
        <v>0.4966358284272498</v>
      </c>
      <c r="J11" s="68">
        <f>IF(F11&gt;0,H11/F11,0)</f>
        <v>0</v>
      </c>
      <c r="K11" s="74">
        <f>SUM(K12:K15)</f>
        <v>223.6</v>
      </c>
      <c r="L11" s="68">
        <f t="shared" si="4"/>
        <v>1.056350626118068</v>
      </c>
      <c r="M11" s="74">
        <f>SUM(M12:M15)</f>
        <v>40.300000000000004</v>
      </c>
      <c r="N11" s="74">
        <f>SUM(N12:N15)</f>
        <v>37.300000000000004</v>
      </c>
      <c r="O11" s="68">
        <f t="shared" si="2"/>
        <v>1.0804289544235925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51</v>
      </c>
      <c r="B12" s="12">
        <v>1030223001</v>
      </c>
      <c r="C12" s="73">
        <v>167.3</v>
      </c>
      <c r="D12" s="73"/>
      <c r="E12" s="69">
        <f>C12+D12</f>
        <v>167.3</v>
      </c>
      <c r="F12" s="69"/>
      <c r="G12" s="73">
        <v>84.6</v>
      </c>
      <c r="H12" s="71">
        <f>G12+M12</f>
        <v>102.39999999999999</v>
      </c>
      <c r="I12" s="72">
        <f t="shared" si="1"/>
        <v>0.6120741183502689</v>
      </c>
      <c r="J12" s="72">
        <f>IF(F12&gt;0,H12/F12,0)</f>
        <v>0</v>
      </c>
      <c r="K12" s="73">
        <v>88.3</v>
      </c>
      <c r="L12" s="72">
        <f t="shared" si="4"/>
        <v>1.1596828992072479</v>
      </c>
      <c r="M12" s="73">
        <v>17.8</v>
      </c>
      <c r="N12" s="73">
        <v>15.2</v>
      </c>
      <c r="O12" s="72">
        <f t="shared" si="2"/>
        <v>1.1710526315789476</v>
      </c>
      <c r="P12" s="73"/>
      <c r="Q12" s="73"/>
      <c r="R12" s="73"/>
    </row>
    <row r="13" spans="1:18" ht="18" customHeight="1">
      <c r="A13" s="12" t="s">
        <v>52</v>
      </c>
      <c r="B13" s="12">
        <v>1030224001</v>
      </c>
      <c r="C13" s="73">
        <v>1.4</v>
      </c>
      <c r="D13" s="73"/>
      <c r="E13" s="69">
        <f>C13+D13</f>
        <v>1.4</v>
      </c>
      <c r="F13" s="69"/>
      <c r="G13" s="73">
        <v>0.6</v>
      </c>
      <c r="H13" s="71">
        <f>G13+M13</f>
        <v>0.8</v>
      </c>
      <c r="I13" s="72">
        <f t="shared" si="1"/>
        <v>0.5714285714285715</v>
      </c>
      <c r="J13" s="72">
        <f>IF(F13&gt;0,H13/F13,0)</f>
        <v>0</v>
      </c>
      <c r="K13" s="73">
        <v>1</v>
      </c>
      <c r="L13" s="72">
        <f t="shared" si="4"/>
        <v>0.8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338.2</v>
      </c>
      <c r="D14" s="73"/>
      <c r="E14" s="69">
        <f>C14+D14</f>
        <v>338.2</v>
      </c>
      <c r="F14" s="69"/>
      <c r="G14" s="73">
        <v>128.2</v>
      </c>
      <c r="H14" s="71">
        <f>G14+M14</f>
        <v>154.29999999999998</v>
      </c>
      <c r="I14" s="72">
        <f t="shared" si="1"/>
        <v>0.4562389118864577</v>
      </c>
      <c r="J14" s="72">
        <f>IF(F14&gt;0,H14/F14,0)</f>
        <v>0</v>
      </c>
      <c r="K14" s="73">
        <v>152.2</v>
      </c>
      <c r="L14" s="72">
        <f t="shared" si="4"/>
        <v>1.0137976346911957</v>
      </c>
      <c r="M14" s="73">
        <v>26.1</v>
      </c>
      <c r="N14" s="73">
        <v>25.8</v>
      </c>
      <c r="O14" s="72">
        <f t="shared" si="2"/>
        <v>1.0116279069767442</v>
      </c>
      <c r="P14" s="73"/>
      <c r="Q14" s="73"/>
      <c r="R14" s="73"/>
    </row>
    <row r="15" spans="1:18" ht="19.5" customHeight="1">
      <c r="A15" s="12" t="s">
        <v>54</v>
      </c>
      <c r="B15" s="12">
        <v>1030226001</v>
      </c>
      <c r="C15" s="73">
        <v>-31.3</v>
      </c>
      <c r="D15" s="73"/>
      <c r="E15" s="69">
        <f>C15+D15</f>
        <v>-31.3</v>
      </c>
      <c r="F15" s="69"/>
      <c r="G15" s="73">
        <v>-17.5</v>
      </c>
      <c r="H15" s="71">
        <f>G15+M15</f>
        <v>-21.3</v>
      </c>
      <c r="I15" s="72">
        <f>H15/E15</f>
        <v>0.6805111821086262</v>
      </c>
      <c r="J15" s="72">
        <f>IF(F15&gt;0,H15/F15,0)</f>
        <v>0</v>
      </c>
      <c r="K15" s="73">
        <v>-17.9</v>
      </c>
      <c r="L15" s="72">
        <f t="shared" si="4"/>
        <v>0</v>
      </c>
      <c r="M15" s="73">
        <v>-3.8</v>
      </c>
      <c r="N15" s="73">
        <v>-3.9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233.5</v>
      </c>
      <c r="D16" s="75">
        <f t="shared" si="7"/>
        <v>50</v>
      </c>
      <c r="E16" s="75">
        <f t="shared" si="7"/>
        <v>283.5</v>
      </c>
      <c r="F16" s="75">
        <f t="shared" si="7"/>
        <v>0</v>
      </c>
      <c r="G16" s="74">
        <f>G17</f>
        <v>26.8</v>
      </c>
      <c r="H16" s="75">
        <f t="shared" si="7"/>
        <v>26.8</v>
      </c>
      <c r="I16" s="89">
        <f t="shared" si="1"/>
        <v>0.0945326278659612</v>
      </c>
      <c r="J16" s="89">
        <f t="shared" si="5"/>
        <v>0</v>
      </c>
      <c r="K16" s="74">
        <f>K17</f>
        <v>97.1</v>
      </c>
      <c r="L16" s="89">
        <f t="shared" si="4"/>
        <v>0.2760041194644696</v>
      </c>
      <c r="M16" s="74">
        <f>M17</f>
        <v>0</v>
      </c>
      <c r="N16" s="74">
        <f>N17</f>
        <v>13.9</v>
      </c>
      <c r="O16" s="89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233.5</v>
      </c>
      <c r="D17" s="70">
        <f>50</f>
        <v>50</v>
      </c>
      <c r="E17" s="73">
        <f>C17+D17</f>
        <v>283.5</v>
      </c>
      <c r="F17" s="73"/>
      <c r="G17" s="73">
        <v>26.8</v>
      </c>
      <c r="H17" s="70">
        <f>G17+M17</f>
        <v>26.8</v>
      </c>
      <c r="I17" s="79">
        <f t="shared" si="1"/>
        <v>0.0945326278659612</v>
      </c>
      <c r="J17" s="79">
        <f t="shared" si="5"/>
        <v>0</v>
      </c>
      <c r="K17" s="73">
        <v>97.1</v>
      </c>
      <c r="L17" s="79">
        <f t="shared" si="4"/>
        <v>0.2760041194644696</v>
      </c>
      <c r="M17" s="73"/>
      <c r="N17" s="73">
        <v>13.9</v>
      </c>
      <c r="O17" s="79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210</v>
      </c>
      <c r="D18" s="75">
        <f t="shared" si="8"/>
        <v>60</v>
      </c>
      <c r="E18" s="75">
        <f t="shared" si="8"/>
        <v>270</v>
      </c>
      <c r="F18" s="75">
        <f t="shared" si="8"/>
        <v>0</v>
      </c>
      <c r="G18" s="74">
        <f>G19+G22</f>
        <v>31.3</v>
      </c>
      <c r="H18" s="75">
        <f t="shared" si="8"/>
        <v>35.3</v>
      </c>
      <c r="I18" s="89">
        <f t="shared" si="1"/>
        <v>0.13074074074074074</v>
      </c>
      <c r="J18" s="89">
        <f t="shared" si="5"/>
        <v>0</v>
      </c>
      <c r="K18" s="74">
        <f>K19+K22</f>
        <v>-35.300000000000004</v>
      </c>
      <c r="L18" s="89">
        <f t="shared" si="4"/>
        <v>0</v>
      </c>
      <c r="M18" s="74">
        <f>M19+M22</f>
        <v>4</v>
      </c>
      <c r="N18" s="74">
        <f>N19+N22</f>
        <v>14.1</v>
      </c>
      <c r="O18" s="89">
        <f t="shared" si="2"/>
        <v>0.28368794326241137</v>
      </c>
      <c r="P18" s="74">
        <f>P19+P22</f>
        <v>123.39999999999999</v>
      </c>
      <c r="Q18" s="74">
        <f>Q19+Q22</f>
        <v>100.4</v>
      </c>
      <c r="R18" s="74">
        <f>R19+R22</f>
        <v>97.3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160</v>
      </c>
      <c r="D19" s="70">
        <f t="shared" si="9"/>
        <v>30</v>
      </c>
      <c r="E19" s="70">
        <f t="shared" si="9"/>
        <v>190</v>
      </c>
      <c r="F19" s="70">
        <f t="shared" si="9"/>
        <v>0</v>
      </c>
      <c r="G19" s="70">
        <f>G20+G21</f>
        <v>25.1</v>
      </c>
      <c r="H19" s="70">
        <f t="shared" si="9"/>
        <v>28.5</v>
      </c>
      <c r="I19" s="79">
        <f t="shared" si="1"/>
        <v>0.15</v>
      </c>
      <c r="J19" s="79">
        <f t="shared" si="5"/>
        <v>0</v>
      </c>
      <c r="K19" s="70">
        <f>K20+K21</f>
        <v>-52.300000000000004</v>
      </c>
      <c r="L19" s="79">
        <f t="shared" si="4"/>
        <v>0</v>
      </c>
      <c r="M19" s="70">
        <f>M20+M21</f>
        <v>3.4</v>
      </c>
      <c r="N19" s="70">
        <f>N20+N21</f>
        <v>0.7</v>
      </c>
      <c r="O19" s="79">
        <f t="shared" si="2"/>
        <v>4.857142857142858</v>
      </c>
      <c r="P19" s="73">
        <f>P20+P21</f>
        <v>99.6</v>
      </c>
      <c r="Q19" s="73">
        <f>Q20+Q21</f>
        <v>60.7</v>
      </c>
      <c r="R19" s="73">
        <f>R20+R21</f>
        <v>57.599999999999994</v>
      </c>
    </row>
    <row r="20" spans="1:18" ht="18">
      <c r="A20" s="13" t="s">
        <v>102</v>
      </c>
      <c r="B20" s="13">
        <v>1060603310</v>
      </c>
      <c r="C20" s="73">
        <v>50</v>
      </c>
      <c r="D20" s="70"/>
      <c r="E20" s="73">
        <f>C20+D20</f>
        <v>50</v>
      </c>
      <c r="F20" s="73"/>
      <c r="G20" s="73">
        <v>18.5</v>
      </c>
      <c r="H20" s="70">
        <f>G20+M20</f>
        <v>18.5</v>
      </c>
      <c r="I20" s="79">
        <f t="shared" si="1"/>
        <v>0.37</v>
      </c>
      <c r="J20" s="79">
        <f t="shared" si="5"/>
        <v>0</v>
      </c>
      <c r="K20" s="73">
        <v>-63.2</v>
      </c>
      <c r="L20" s="79">
        <f t="shared" si="4"/>
        <v>0</v>
      </c>
      <c r="M20" s="73"/>
      <c r="N20" s="73"/>
      <c r="O20" s="79">
        <f t="shared" si="2"/>
        <v>0</v>
      </c>
      <c r="P20" s="73">
        <v>17.8</v>
      </c>
      <c r="Q20" s="73">
        <v>17.8</v>
      </c>
      <c r="R20" s="73">
        <v>17.8</v>
      </c>
    </row>
    <row r="21" spans="1:18" ht="18">
      <c r="A21" s="13" t="s">
        <v>103</v>
      </c>
      <c r="B21" s="13">
        <v>1060604310</v>
      </c>
      <c r="C21" s="73">
        <v>110</v>
      </c>
      <c r="D21" s="70">
        <f>30</f>
        <v>30</v>
      </c>
      <c r="E21" s="73">
        <f>C21+D21</f>
        <v>140</v>
      </c>
      <c r="F21" s="73"/>
      <c r="G21" s="73">
        <v>6.6</v>
      </c>
      <c r="H21" s="70">
        <f>G21+M21</f>
        <v>10</v>
      </c>
      <c r="I21" s="79">
        <f t="shared" si="1"/>
        <v>0.07142857142857142</v>
      </c>
      <c r="J21" s="79">
        <f t="shared" si="5"/>
        <v>0</v>
      </c>
      <c r="K21" s="73">
        <v>10.9</v>
      </c>
      <c r="L21" s="79">
        <f t="shared" si="4"/>
        <v>0.9174311926605504</v>
      </c>
      <c r="M21" s="73">
        <v>3.4</v>
      </c>
      <c r="N21" s="73">
        <v>0.7</v>
      </c>
      <c r="O21" s="79">
        <f t="shared" si="2"/>
        <v>4.857142857142858</v>
      </c>
      <c r="P21" s="73">
        <v>81.8</v>
      </c>
      <c r="Q21" s="73">
        <v>42.9</v>
      </c>
      <c r="R21" s="73">
        <v>39.8</v>
      </c>
    </row>
    <row r="22" spans="1:20" ht="18">
      <c r="A22" s="13" t="s">
        <v>12</v>
      </c>
      <c r="B22" s="13">
        <v>1060103010</v>
      </c>
      <c r="C22" s="73">
        <v>50</v>
      </c>
      <c r="D22" s="70">
        <f>30</f>
        <v>30</v>
      </c>
      <c r="E22" s="73">
        <f>C22+D22</f>
        <v>80</v>
      </c>
      <c r="F22" s="73"/>
      <c r="G22" s="73">
        <v>6.2</v>
      </c>
      <c r="H22" s="70">
        <f>G22+M22</f>
        <v>6.8</v>
      </c>
      <c r="I22" s="79">
        <f t="shared" si="1"/>
        <v>0.08499999999999999</v>
      </c>
      <c r="J22" s="79">
        <f t="shared" si="5"/>
        <v>0</v>
      </c>
      <c r="K22" s="73">
        <v>17</v>
      </c>
      <c r="L22" s="79">
        <f t="shared" si="4"/>
        <v>0.39999999999999997</v>
      </c>
      <c r="M22" s="73">
        <v>0.6</v>
      </c>
      <c r="N22" s="73">
        <v>13.4</v>
      </c>
      <c r="O22" s="79">
        <f t="shared" si="2"/>
        <v>0.04477611940298507</v>
      </c>
      <c r="P22" s="73">
        <v>23.8</v>
      </c>
      <c r="Q22" s="73">
        <v>39.7</v>
      </c>
      <c r="R22" s="73">
        <v>39.7</v>
      </c>
      <c r="T22" s="132"/>
    </row>
    <row r="23" spans="1:18" ht="17.25" customHeight="1">
      <c r="A23" s="9" t="s">
        <v>74</v>
      </c>
      <c r="B23" s="30">
        <v>1080402001</v>
      </c>
      <c r="C23" s="74">
        <v>3</v>
      </c>
      <c r="D23" s="75"/>
      <c r="E23" s="74">
        <f>C23+D23</f>
        <v>3</v>
      </c>
      <c r="F23" s="74"/>
      <c r="G23" s="74">
        <v>3</v>
      </c>
      <c r="H23" s="75">
        <f>G23+M23</f>
        <v>4.1</v>
      </c>
      <c r="I23" s="89">
        <f t="shared" si="1"/>
        <v>1.3666666666666665</v>
      </c>
      <c r="J23" s="89">
        <f t="shared" si="5"/>
        <v>0</v>
      </c>
      <c r="K23" s="74">
        <v>4.1</v>
      </c>
      <c r="L23" s="89">
        <f t="shared" si="4"/>
        <v>1</v>
      </c>
      <c r="M23" s="74">
        <v>1.1</v>
      </c>
      <c r="N23" s="74">
        <v>1.1</v>
      </c>
      <c r="O23" s="89">
        <f t="shared" si="2"/>
        <v>1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8">
        <f aca="true" t="shared" si="10" ref="C25:H25">C26+C29+C33+C30+C32+C31</f>
        <v>1010</v>
      </c>
      <c r="D25" s="88">
        <f t="shared" si="10"/>
        <v>0</v>
      </c>
      <c r="E25" s="88">
        <f t="shared" si="10"/>
        <v>1010</v>
      </c>
      <c r="F25" s="88">
        <f t="shared" si="10"/>
        <v>0</v>
      </c>
      <c r="G25" s="88">
        <f>G26+G29+G33+G30+G32+G31</f>
        <v>243.60000000000002</v>
      </c>
      <c r="H25" s="88">
        <f t="shared" si="10"/>
        <v>303.8</v>
      </c>
      <c r="I25" s="92">
        <f t="shared" si="1"/>
        <v>0.3007920792079208</v>
      </c>
      <c r="J25" s="92">
        <f t="shared" si="5"/>
        <v>0</v>
      </c>
      <c r="K25" s="88">
        <f>K26+K29+K33+K30+K32+K31</f>
        <v>244.5</v>
      </c>
      <c r="L25" s="92">
        <f t="shared" si="4"/>
        <v>1.2425357873210634</v>
      </c>
      <c r="M25" s="88">
        <f>M26+M29+M33+M30+M32+M31</f>
        <v>60.2</v>
      </c>
      <c r="N25" s="88">
        <f>N26+N29+N33+N30+N32+N31</f>
        <v>60.800000000000004</v>
      </c>
      <c r="O25" s="92">
        <f t="shared" si="2"/>
        <v>0.9901315789473684</v>
      </c>
      <c r="P25" s="78">
        <f>P26+P29+P33+P30</f>
        <v>2.7</v>
      </c>
      <c r="Q25" s="78">
        <f>Q26+Q29+Q33+Q30</f>
        <v>0</v>
      </c>
      <c r="R25" s="78">
        <f>R26+R29+R33+R30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100</v>
      </c>
      <c r="D26" s="74">
        <f t="shared" si="11"/>
        <v>0</v>
      </c>
      <c r="E26" s="74">
        <f t="shared" si="11"/>
        <v>100</v>
      </c>
      <c r="F26" s="74">
        <f t="shared" si="11"/>
        <v>0</v>
      </c>
      <c r="G26" s="74">
        <f>G27+G28</f>
        <v>39.7</v>
      </c>
      <c r="H26" s="74">
        <f t="shared" si="11"/>
        <v>46.1</v>
      </c>
      <c r="I26" s="89">
        <f t="shared" si="1"/>
        <v>0.461</v>
      </c>
      <c r="J26" s="89">
        <f t="shared" si="5"/>
        <v>0</v>
      </c>
      <c r="K26" s="74">
        <f>K27+K28</f>
        <v>51.099999999999994</v>
      </c>
      <c r="L26" s="89">
        <f t="shared" si="4"/>
        <v>0.9021526418786694</v>
      </c>
      <c r="M26" s="74">
        <f>M27+M28</f>
        <v>6.4</v>
      </c>
      <c r="N26" s="74">
        <f>N27+N28</f>
        <v>13.2</v>
      </c>
      <c r="O26" s="89">
        <f t="shared" si="2"/>
        <v>0.4848484848484849</v>
      </c>
      <c r="P26" s="74">
        <f>P27+P28</f>
        <v>2.7</v>
      </c>
      <c r="Q26" s="74">
        <f>Q27+Q28</f>
        <v>0</v>
      </c>
      <c r="R26" s="74">
        <f>R27+R28</f>
        <v>0</v>
      </c>
    </row>
    <row r="27" spans="1:18" ht="19.5" customHeight="1">
      <c r="A27" s="13" t="s">
        <v>109</v>
      </c>
      <c r="B27" s="13">
        <v>1110502510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79">
        <f t="shared" si="1"/>
        <v>0</v>
      </c>
      <c r="J27" s="79">
        <f t="shared" si="5"/>
        <v>0</v>
      </c>
      <c r="K27" s="73">
        <v>0.3</v>
      </c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100</v>
      </c>
      <c r="D28" s="70"/>
      <c r="E28" s="73">
        <f t="shared" si="12"/>
        <v>100</v>
      </c>
      <c r="F28" s="73"/>
      <c r="G28" s="73">
        <v>39.7</v>
      </c>
      <c r="H28" s="70">
        <f t="shared" si="13"/>
        <v>46.1</v>
      </c>
      <c r="I28" s="79">
        <f t="shared" si="1"/>
        <v>0.461</v>
      </c>
      <c r="J28" s="79">
        <f t="shared" si="5"/>
        <v>0</v>
      </c>
      <c r="K28" s="73">
        <v>50.8</v>
      </c>
      <c r="L28" s="79">
        <f t="shared" si="4"/>
        <v>0.90748031496063</v>
      </c>
      <c r="M28" s="73">
        <v>6.4</v>
      </c>
      <c r="N28" s="73">
        <v>13.2</v>
      </c>
      <c r="O28" s="79">
        <f t="shared" si="2"/>
        <v>0.4848484848484849</v>
      </c>
      <c r="P28" s="73">
        <v>2.7</v>
      </c>
      <c r="Q28" s="73"/>
      <c r="R28" s="73"/>
    </row>
    <row r="29" spans="1:18" ht="18">
      <c r="A29" s="9" t="s">
        <v>39</v>
      </c>
      <c r="B29" s="30">
        <v>1130299510</v>
      </c>
      <c r="C29" s="74">
        <v>910</v>
      </c>
      <c r="D29" s="74"/>
      <c r="E29" s="74">
        <f t="shared" si="12"/>
        <v>910</v>
      </c>
      <c r="F29" s="74"/>
      <c r="G29" s="74">
        <v>195.4</v>
      </c>
      <c r="H29" s="75">
        <f t="shared" si="13"/>
        <v>249.10000000000002</v>
      </c>
      <c r="I29" s="89">
        <f t="shared" si="1"/>
        <v>0.27373626373626375</v>
      </c>
      <c r="J29" s="89">
        <f t="shared" si="5"/>
        <v>0</v>
      </c>
      <c r="K29" s="74">
        <v>192.9</v>
      </c>
      <c r="L29" s="89">
        <f t="shared" si="4"/>
        <v>1.2913426645930535</v>
      </c>
      <c r="M29" s="74">
        <v>53.7</v>
      </c>
      <c r="N29" s="74">
        <v>47.5</v>
      </c>
      <c r="O29" s="89">
        <f t="shared" si="2"/>
        <v>1.1305263157894738</v>
      </c>
      <c r="P29" s="74"/>
      <c r="Q29" s="74"/>
      <c r="R29" s="74"/>
    </row>
    <row r="30" spans="1:18" ht="18">
      <c r="A30" s="9" t="s">
        <v>78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/>
      <c r="E32" s="74">
        <f t="shared" si="12"/>
        <v>0</v>
      </c>
      <c r="F32" s="74"/>
      <c r="G32" s="74">
        <v>8.3</v>
      </c>
      <c r="H32" s="75">
        <f t="shared" si="13"/>
        <v>8.200000000000001</v>
      </c>
      <c r="I32" s="89">
        <f>IF(E32&gt;0,H32/E32,0)</f>
        <v>0</v>
      </c>
      <c r="J32" s="89">
        <f>IF(F32&gt;0,H32/F32,0)</f>
        <v>0</v>
      </c>
      <c r="K32" s="74"/>
      <c r="L32" s="89">
        <f t="shared" si="4"/>
        <v>0</v>
      </c>
      <c r="M32" s="74">
        <v>-0.1</v>
      </c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0.2</v>
      </c>
      <c r="H33" s="74">
        <f t="shared" si="14"/>
        <v>0.4</v>
      </c>
      <c r="I33" s="89">
        <f>IF(E33&gt;0,H33/E33,0)</f>
        <v>0</v>
      </c>
      <c r="J33" s="89">
        <f>IF(F33&gt;0,H33/F33,0)</f>
        <v>0</v>
      </c>
      <c r="K33" s="74">
        <f>SUM(K34:K35)</f>
        <v>0.5</v>
      </c>
      <c r="L33" s="89">
        <f t="shared" si="4"/>
        <v>0.8</v>
      </c>
      <c r="M33" s="74">
        <f t="shared" si="14"/>
        <v>0.2</v>
      </c>
      <c r="N33" s="74">
        <f t="shared" si="14"/>
        <v>0.1</v>
      </c>
      <c r="O33" s="89">
        <f t="shared" si="2"/>
        <v>2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t="shared" si="2"/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>
        <v>0.2</v>
      </c>
      <c r="H35" s="70">
        <f>G35+M35</f>
        <v>0.4</v>
      </c>
      <c r="I35" s="79">
        <f>IF(E35&gt;0,H35/E35,0)</f>
        <v>0</v>
      </c>
      <c r="J35" s="79">
        <f>IF(F35&gt;0,H35/F35,0)</f>
        <v>0</v>
      </c>
      <c r="K35" s="73">
        <v>0.5</v>
      </c>
      <c r="L35" s="79">
        <f>IF(K35&gt;0,H35/K35,0)</f>
        <v>0.8</v>
      </c>
      <c r="M35" s="73">
        <v>0.2</v>
      </c>
      <c r="N35" s="73">
        <v>0.1</v>
      </c>
      <c r="O35" s="79">
        <f>IF(N35&gt;0,M35/N35,0)</f>
        <v>2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1">
        <f aca="true" t="shared" si="15" ref="C36:H36">C5+C25</f>
        <v>2611.8</v>
      </c>
      <c r="D36" s="80">
        <f t="shared" si="15"/>
        <v>549.79</v>
      </c>
      <c r="E36" s="80">
        <f t="shared" si="15"/>
        <v>3161.59</v>
      </c>
      <c r="F36" s="81">
        <f t="shared" si="15"/>
        <v>0</v>
      </c>
      <c r="G36" s="81">
        <f>G5+G25</f>
        <v>792.0000000000001</v>
      </c>
      <c r="H36" s="81">
        <f t="shared" si="15"/>
        <v>956.4000000000001</v>
      </c>
      <c r="I36" s="93">
        <f t="shared" si="1"/>
        <v>0.3025060175418065</v>
      </c>
      <c r="J36" s="93">
        <f t="shared" si="5"/>
        <v>0</v>
      </c>
      <c r="K36" s="81">
        <f>K5+K25</f>
        <v>893.2</v>
      </c>
      <c r="L36" s="93">
        <f t="shared" si="4"/>
        <v>1.0707568293775191</v>
      </c>
      <c r="M36" s="81">
        <f>M5+M25</f>
        <v>164.4</v>
      </c>
      <c r="N36" s="81">
        <f>N5+N25</f>
        <v>186.9</v>
      </c>
      <c r="O36" s="93">
        <f t="shared" si="2"/>
        <v>0.8796147672552167</v>
      </c>
      <c r="P36" s="81">
        <f>P5+P25</f>
        <v>140.89999999999998</v>
      </c>
      <c r="Q36" s="81">
        <f>Q5+Q25</f>
        <v>101.7</v>
      </c>
      <c r="R36" s="81">
        <f>R5+R25</f>
        <v>99</v>
      </c>
      <c r="T36" s="133"/>
    </row>
    <row r="37" spans="1:18" ht="18">
      <c r="A37" s="9" t="s">
        <v>94</v>
      </c>
      <c r="B37" s="9"/>
      <c r="C37" s="81">
        <f aca="true" t="shared" si="16" ref="C37:H37">C36-C11</f>
        <v>2136.2000000000003</v>
      </c>
      <c r="D37" s="80">
        <f t="shared" si="16"/>
        <v>549.79</v>
      </c>
      <c r="E37" s="80">
        <f t="shared" si="16"/>
        <v>2685.9900000000002</v>
      </c>
      <c r="F37" s="81">
        <f t="shared" si="16"/>
        <v>0</v>
      </c>
      <c r="G37" s="81">
        <f>G36-G11</f>
        <v>596.1000000000001</v>
      </c>
      <c r="H37" s="81">
        <f t="shared" si="16"/>
        <v>720.2</v>
      </c>
      <c r="I37" s="93">
        <f>IF(E37&gt;0,H37/E37,0)</f>
        <v>0.2681320481461212</v>
      </c>
      <c r="J37" s="93">
        <f>IF(F37&gt;0,H37/F37,0)</f>
        <v>0</v>
      </c>
      <c r="K37" s="81">
        <f>K36-K11</f>
        <v>669.6</v>
      </c>
      <c r="L37" s="93">
        <f t="shared" si="4"/>
        <v>1.0755675029868579</v>
      </c>
      <c r="M37" s="81">
        <f>M36-M11</f>
        <v>124.1</v>
      </c>
      <c r="N37" s="81">
        <f>N36-N11</f>
        <v>149.6</v>
      </c>
      <c r="O37" s="93">
        <f t="shared" si="2"/>
        <v>0.8295454545454546</v>
      </c>
      <c r="P37" s="81"/>
      <c r="Q37" s="81"/>
      <c r="R37" s="81"/>
    </row>
    <row r="38" spans="1:18" ht="18">
      <c r="A38" s="13" t="s">
        <v>25</v>
      </c>
      <c r="B38" s="13">
        <v>2000000000</v>
      </c>
      <c r="C38" s="73">
        <v>733.97</v>
      </c>
      <c r="D38" s="84"/>
      <c r="E38" s="84">
        <f>C38+D38</f>
        <v>733.97</v>
      </c>
      <c r="F38" s="73"/>
      <c r="G38" s="73">
        <v>328.1</v>
      </c>
      <c r="H38" s="70">
        <f>G38+M38</f>
        <v>365.40000000000003</v>
      </c>
      <c r="I38" s="79">
        <f t="shared" si="1"/>
        <v>0.49784051119255557</v>
      </c>
      <c r="J38" s="79">
        <f t="shared" si="5"/>
        <v>0</v>
      </c>
      <c r="K38" s="73">
        <v>314.3</v>
      </c>
      <c r="L38" s="79">
        <f t="shared" si="4"/>
        <v>1.1625835189309577</v>
      </c>
      <c r="M38" s="73">
        <v>37.3</v>
      </c>
      <c r="N38" s="73">
        <v>38.9</v>
      </c>
      <c r="O38" s="79">
        <f t="shared" si="2"/>
        <v>0.9588688946015423</v>
      </c>
      <c r="P38" s="73"/>
      <c r="Q38" s="73"/>
      <c r="R38" s="73"/>
    </row>
    <row r="39" spans="1:18" ht="18">
      <c r="A39" s="13" t="s">
        <v>48</v>
      </c>
      <c r="B39" s="34" t="s">
        <v>104</v>
      </c>
      <c r="C39" s="73"/>
      <c r="D39" s="84">
        <v>374.56</v>
      </c>
      <c r="E39" s="73">
        <f>C39+D39</f>
        <v>374.56</v>
      </c>
      <c r="F39" s="73"/>
      <c r="G39" s="73">
        <v>374.6</v>
      </c>
      <c r="H39" s="70">
        <f>G39+M39</f>
        <v>374.6</v>
      </c>
      <c r="I39" s="79">
        <f>IF(E39&gt;0,H39/E39,0)</f>
        <v>1.000106791969244</v>
      </c>
      <c r="J39" s="79">
        <f>IF(F39&gt;0,H39/F39,0)</f>
        <v>0</v>
      </c>
      <c r="K39" s="73"/>
      <c r="L39" s="79"/>
      <c r="M39" s="73"/>
      <c r="N39" s="73"/>
      <c r="O39" s="79">
        <f t="shared" si="2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0">
        <f aca="true" t="shared" si="17" ref="C40:H40">C36+C38+C39</f>
        <v>3345.7700000000004</v>
      </c>
      <c r="D40" s="90">
        <f t="shared" si="17"/>
        <v>924.3499999999999</v>
      </c>
      <c r="E40" s="80">
        <f t="shared" si="17"/>
        <v>4270.120000000001</v>
      </c>
      <c r="F40" s="81">
        <f t="shared" si="17"/>
        <v>0</v>
      </c>
      <c r="G40" s="81">
        <f t="shared" si="17"/>
        <v>1494.7000000000003</v>
      </c>
      <c r="H40" s="81">
        <f t="shared" si="17"/>
        <v>1696.4</v>
      </c>
      <c r="I40" s="93">
        <f t="shared" si="1"/>
        <v>0.39727220780680633</v>
      </c>
      <c r="J40" s="93"/>
      <c r="K40" s="81">
        <f>K36+K38+K39</f>
        <v>1207.5</v>
      </c>
      <c r="L40" s="93">
        <f t="shared" si="4"/>
        <v>1.4048861283643894</v>
      </c>
      <c r="M40" s="81">
        <f>M36+M38+M39</f>
        <v>201.7</v>
      </c>
      <c r="N40" s="81">
        <f>N36+N38+N39</f>
        <v>225.8</v>
      </c>
      <c r="O40" s="93">
        <f t="shared" si="2"/>
        <v>0.8932683790965456</v>
      </c>
      <c r="P40" s="94">
        <f>P36+P38</f>
        <v>140.89999999999998</v>
      </c>
      <c r="Q40" s="81">
        <f>Q36+Q38</f>
        <v>101.7</v>
      </c>
      <c r="R40" s="81">
        <f>R36+R38</f>
        <v>99</v>
      </c>
    </row>
    <row r="41" spans="8:9" ht="21.75" customHeight="1">
      <c r="H41" s="27"/>
      <c r="I41" s="27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3" sqref="R23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5" t="s">
        <v>129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5" t="s">
        <v>3</v>
      </c>
      <c r="B3" s="165" t="s">
        <v>4</v>
      </c>
      <c r="C3" s="165" t="s">
        <v>114</v>
      </c>
      <c r="D3" s="165" t="s">
        <v>24</v>
      </c>
      <c r="E3" s="165" t="s">
        <v>115</v>
      </c>
      <c r="F3" s="165" t="s">
        <v>101</v>
      </c>
      <c r="G3" s="165" t="s">
        <v>118</v>
      </c>
      <c r="H3" s="165" t="s">
        <v>116</v>
      </c>
      <c r="I3" s="165"/>
      <c r="J3" s="165"/>
      <c r="K3" s="165" t="s">
        <v>108</v>
      </c>
      <c r="L3" s="165"/>
      <c r="M3" s="165" t="s">
        <v>121</v>
      </c>
      <c r="N3" s="165" t="s">
        <v>122</v>
      </c>
      <c r="O3" s="165" t="s">
        <v>30</v>
      </c>
      <c r="P3" s="165" t="s">
        <v>9</v>
      </c>
      <c r="Q3" s="165"/>
      <c r="R3" s="165"/>
    </row>
    <row r="4" spans="1:18" ht="104.25" customHeight="1">
      <c r="A4" s="174"/>
      <c r="B4" s="174"/>
      <c r="C4" s="165"/>
      <c r="D4" s="165"/>
      <c r="E4" s="165"/>
      <c r="F4" s="165"/>
      <c r="G4" s="165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5"/>
      <c r="N4" s="165"/>
      <c r="O4" s="165"/>
      <c r="P4" s="124" t="s">
        <v>117</v>
      </c>
      <c r="Q4" s="124" t="s">
        <v>119</v>
      </c>
      <c r="R4" s="124" t="s">
        <v>124</v>
      </c>
    </row>
    <row r="5" spans="1:18" ht="20.25" customHeight="1">
      <c r="A5" s="29" t="s">
        <v>21</v>
      </c>
      <c r="B5" s="29"/>
      <c r="C5" s="91">
        <f aca="true" t="shared" si="0" ref="C5:H5">C6+C16+C18+C23+C24+C11</f>
        <v>838.5999999999999</v>
      </c>
      <c r="D5" s="91">
        <f t="shared" si="0"/>
        <v>200</v>
      </c>
      <c r="E5" s="91">
        <f t="shared" si="0"/>
        <v>1038.6</v>
      </c>
      <c r="F5" s="91">
        <f t="shared" si="0"/>
        <v>0</v>
      </c>
      <c r="G5" s="91">
        <f t="shared" si="0"/>
        <v>352.1</v>
      </c>
      <c r="H5" s="91">
        <f t="shared" si="0"/>
        <v>414.9</v>
      </c>
      <c r="I5" s="92">
        <f aca="true" t="shared" si="1" ref="I5:I40">IF(E5&gt;0,H5/E5,0)</f>
        <v>0.39948006932409014</v>
      </c>
      <c r="J5" s="92">
        <f>IF(F5&gt;0,H5/F5,0)</f>
        <v>0</v>
      </c>
      <c r="K5" s="91">
        <f>K6+K16+K18+K23+K24+K11</f>
        <v>376.2</v>
      </c>
      <c r="L5" s="92">
        <f>IF(K5&gt;0,H5/K5,0)</f>
        <v>1.1028708133971292</v>
      </c>
      <c r="M5" s="91">
        <f>M6+M16+M18+M23+M24+M11</f>
        <v>62.8</v>
      </c>
      <c r="N5" s="91">
        <f>N6+N16+N18+N23+N24+N11</f>
        <v>68</v>
      </c>
      <c r="O5" s="92">
        <f aca="true" t="shared" si="2" ref="O5:O33">IF(N5&gt;0,M5/N5,0)</f>
        <v>0.9235294117647058</v>
      </c>
      <c r="P5" s="91">
        <f>P6+P16+P18+P23+P24+P11</f>
        <v>69.10000000000001</v>
      </c>
      <c r="Q5" s="91">
        <f>Q6+Q16+Q18+Q23+Q24+Q11</f>
        <v>49.10000000000001</v>
      </c>
      <c r="R5" s="91">
        <f>R6+R16+R18+R23+R24+R11</f>
        <v>48.2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227.29999999999998</v>
      </c>
      <c r="D6" s="74">
        <f t="shared" si="3"/>
        <v>200</v>
      </c>
      <c r="E6" s="74">
        <f t="shared" si="3"/>
        <v>427.30000000000007</v>
      </c>
      <c r="F6" s="74">
        <f t="shared" si="3"/>
        <v>0</v>
      </c>
      <c r="G6" s="74">
        <f t="shared" si="3"/>
        <v>98.9</v>
      </c>
      <c r="H6" s="74">
        <f t="shared" si="3"/>
        <v>111.2</v>
      </c>
      <c r="I6" s="89">
        <f t="shared" si="1"/>
        <v>0.2602387081675637</v>
      </c>
      <c r="J6" s="89">
        <f>IF(F6&gt;0,H6/F6,0)</f>
        <v>0</v>
      </c>
      <c r="K6" s="74">
        <f>K7+K8+K9+K10</f>
        <v>109.7</v>
      </c>
      <c r="L6" s="89">
        <f aca="true" t="shared" si="4" ref="L6:L40">IF(K6&gt;0,H6/K6,0)</f>
        <v>1.0136736554238832</v>
      </c>
      <c r="M6" s="74">
        <f>M7+M8+M9+M10</f>
        <v>12.3</v>
      </c>
      <c r="N6" s="74">
        <f>N7+N8+N9+N10</f>
        <v>20.3</v>
      </c>
      <c r="O6" s="89">
        <f t="shared" si="2"/>
        <v>0.6059113300492611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46</v>
      </c>
      <c r="B7" s="13">
        <v>1010201001</v>
      </c>
      <c r="C7" s="73">
        <v>227.1</v>
      </c>
      <c r="D7" s="70">
        <f>200</f>
        <v>200</v>
      </c>
      <c r="E7" s="73">
        <f>C7+D7</f>
        <v>427.1</v>
      </c>
      <c r="F7" s="73"/>
      <c r="G7" s="70">
        <v>98.9</v>
      </c>
      <c r="H7" s="70">
        <f>G7+M7</f>
        <v>111.2</v>
      </c>
      <c r="I7" s="79">
        <f t="shared" si="1"/>
        <v>0.26036057129477874</v>
      </c>
      <c r="J7" s="79">
        <f aca="true" t="shared" si="5" ref="J7:J38">IF(F7&gt;0,H7/F7,0)</f>
        <v>0</v>
      </c>
      <c r="K7" s="70">
        <v>109.7</v>
      </c>
      <c r="L7" s="79">
        <f t="shared" si="4"/>
        <v>1.0136736554238832</v>
      </c>
      <c r="M7" s="70">
        <v>12.3</v>
      </c>
      <c r="N7" s="70">
        <v>20.3</v>
      </c>
      <c r="O7" s="79">
        <f t="shared" si="2"/>
        <v>0.6059113300492611</v>
      </c>
      <c r="P7" s="73"/>
      <c r="Q7" s="73"/>
      <c r="R7" s="73"/>
    </row>
    <row r="8" spans="1:18" ht="15" customHeight="1">
      <c r="A8" s="10" t="s">
        <v>45</v>
      </c>
      <c r="B8" s="13">
        <v>1010202001</v>
      </c>
      <c r="C8" s="73">
        <v>0.1</v>
      </c>
      <c r="D8" s="70"/>
      <c r="E8" s="73">
        <f>C8+D8</f>
        <v>0.1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8">
      <c r="A9" s="10" t="s">
        <v>43</v>
      </c>
      <c r="B9" s="13">
        <v>1010203001</v>
      </c>
      <c r="C9" s="73">
        <v>0.1</v>
      </c>
      <c r="D9" s="73"/>
      <c r="E9" s="73">
        <f>C9+D9</f>
        <v>0.1</v>
      </c>
      <c r="F9" s="73"/>
      <c r="G9" s="73"/>
      <c r="H9" s="70">
        <f>G9+M9</f>
        <v>0</v>
      </c>
      <c r="I9" s="79">
        <f t="shared" si="1"/>
        <v>0</v>
      </c>
      <c r="J9" s="79">
        <f t="shared" si="5"/>
        <v>0</v>
      </c>
      <c r="K9" s="73"/>
      <c r="L9" s="79">
        <f t="shared" si="4"/>
        <v>0</v>
      </c>
      <c r="M9" s="73"/>
      <c r="N9" s="73"/>
      <c r="O9" s="79">
        <f t="shared" si="2"/>
        <v>0</v>
      </c>
      <c r="P9" s="73"/>
      <c r="Q9" s="73"/>
      <c r="R9" s="73"/>
    </row>
    <row r="10" spans="1:18" ht="15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30.75" customHeight="1">
      <c r="A11" s="11" t="s">
        <v>50</v>
      </c>
      <c r="B11" s="19">
        <v>1030200001</v>
      </c>
      <c r="C11" s="74">
        <f aca="true" t="shared" si="6" ref="C11:H11">SUM(C12:C15)</f>
        <v>556.3</v>
      </c>
      <c r="D11" s="74">
        <f t="shared" si="6"/>
        <v>0</v>
      </c>
      <c r="E11" s="74">
        <f t="shared" si="6"/>
        <v>556.3</v>
      </c>
      <c r="F11" s="74">
        <f t="shared" si="6"/>
        <v>0</v>
      </c>
      <c r="G11" s="74">
        <f>SUM(G12:G15)</f>
        <v>228.4</v>
      </c>
      <c r="H11" s="74">
        <f t="shared" si="6"/>
        <v>275.4</v>
      </c>
      <c r="I11" s="68">
        <f t="shared" si="1"/>
        <v>0.4950566241236743</v>
      </c>
      <c r="J11" s="68">
        <f>IF(F11&gt;0,H11/F11,0)</f>
        <v>0</v>
      </c>
      <c r="K11" s="74">
        <f>SUM(K12:K15)</f>
        <v>260.5</v>
      </c>
      <c r="L11" s="68">
        <f t="shared" si="4"/>
        <v>1.057197696737044</v>
      </c>
      <c r="M11" s="74">
        <f>SUM(M12:M15)</f>
        <v>47</v>
      </c>
      <c r="N11" s="74">
        <f>SUM(N12:N15)</f>
        <v>43.4</v>
      </c>
      <c r="O11" s="68">
        <f t="shared" si="2"/>
        <v>1.0829493087557605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51</v>
      </c>
      <c r="B12" s="12">
        <v>1030223001</v>
      </c>
      <c r="C12" s="73">
        <v>195.7</v>
      </c>
      <c r="D12" s="73"/>
      <c r="E12" s="69">
        <f>C12+D12</f>
        <v>195.7</v>
      </c>
      <c r="F12" s="69"/>
      <c r="G12" s="73">
        <v>98.6</v>
      </c>
      <c r="H12" s="71">
        <f>G12+M12</f>
        <v>119.3</v>
      </c>
      <c r="I12" s="72">
        <f t="shared" si="1"/>
        <v>0.6096065406234031</v>
      </c>
      <c r="J12" s="72">
        <f>IF(F12&gt;0,H12/F12,0)</f>
        <v>0</v>
      </c>
      <c r="K12" s="73">
        <v>102.9</v>
      </c>
      <c r="L12" s="72">
        <f t="shared" si="4"/>
        <v>1.1593780369290572</v>
      </c>
      <c r="M12" s="73">
        <v>20.7</v>
      </c>
      <c r="N12" s="73">
        <v>17.7</v>
      </c>
      <c r="O12" s="72">
        <f t="shared" si="2"/>
        <v>1.1694915254237288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1.6</v>
      </c>
      <c r="D13" s="73"/>
      <c r="E13" s="69">
        <f>C13+D13</f>
        <v>1.6</v>
      </c>
      <c r="F13" s="69"/>
      <c r="G13" s="73">
        <v>0.7</v>
      </c>
      <c r="H13" s="71">
        <f>G13+M13</f>
        <v>0.8999999999999999</v>
      </c>
      <c r="I13" s="72">
        <f t="shared" si="1"/>
        <v>0.5624999999999999</v>
      </c>
      <c r="J13" s="72">
        <f>IF(F13&gt;0,H13/F13,0)</f>
        <v>0</v>
      </c>
      <c r="K13" s="73">
        <v>1.1</v>
      </c>
      <c r="L13" s="72">
        <f t="shared" si="4"/>
        <v>0.818181818181818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395.6</v>
      </c>
      <c r="D14" s="73"/>
      <c r="E14" s="69">
        <f>C14+D14</f>
        <v>395.6</v>
      </c>
      <c r="F14" s="69"/>
      <c r="G14" s="73">
        <v>149.5</v>
      </c>
      <c r="H14" s="71">
        <f>G14+M14</f>
        <v>180</v>
      </c>
      <c r="I14" s="72">
        <f t="shared" si="1"/>
        <v>0.455005055611729</v>
      </c>
      <c r="J14" s="72">
        <f>IF(F14&gt;0,H14/F14,0)</f>
        <v>0</v>
      </c>
      <c r="K14" s="73">
        <v>177.4</v>
      </c>
      <c r="L14" s="72">
        <f t="shared" si="4"/>
        <v>1.0146561443066515</v>
      </c>
      <c r="M14" s="73">
        <v>30.5</v>
      </c>
      <c r="N14" s="73">
        <v>30.1</v>
      </c>
      <c r="O14" s="72">
        <f t="shared" si="2"/>
        <v>1.0132890365448504</v>
      </c>
      <c r="P14" s="73"/>
      <c r="Q14" s="73"/>
      <c r="R14" s="73"/>
    </row>
    <row r="15" spans="1:18" ht="18" customHeight="1">
      <c r="A15" s="12" t="s">
        <v>54</v>
      </c>
      <c r="B15" s="12">
        <v>1030226001</v>
      </c>
      <c r="C15" s="73">
        <v>-36.6</v>
      </c>
      <c r="D15" s="73"/>
      <c r="E15" s="69">
        <f>C15+D15</f>
        <v>-36.6</v>
      </c>
      <c r="F15" s="69"/>
      <c r="G15" s="73">
        <v>-20.4</v>
      </c>
      <c r="H15" s="71">
        <f>G15+M15</f>
        <v>-24.799999999999997</v>
      </c>
      <c r="I15" s="72">
        <f>H15/E15</f>
        <v>0.6775956284153004</v>
      </c>
      <c r="J15" s="72">
        <f>IF(F15&gt;0,H15/F15,0)</f>
        <v>0</v>
      </c>
      <c r="K15" s="73">
        <v>-20.9</v>
      </c>
      <c r="L15" s="72">
        <f t="shared" si="4"/>
        <v>0</v>
      </c>
      <c r="M15" s="73">
        <v>-4.4</v>
      </c>
      <c r="N15" s="73">
        <v>-4.6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1</v>
      </c>
      <c r="D16" s="75">
        <f t="shared" si="7"/>
        <v>0</v>
      </c>
      <c r="E16" s="75">
        <f t="shared" si="7"/>
        <v>1</v>
      </c>
      <c r="F16" s="75">
        <f t="shared" si="7"/>
        <v>0</v>
      </c>
      <c r="G16" s="74">
        <f>G17</f>
        <v>14.4</v>
      </c>
      <c r="H16" s="75">
        <f t="shared" si="7"/>
        <v>14.4</v>
      </c>
      <c r="I16" s="89">
        <f t="shared" si="1"/>
        <v>14.4</v>
      </c>
      <c r="J16" s="89">
        <f t="shared" si="5"/>
        <v>0</v>
      </c>
      <c r="K16" s="74">
        <f>K17</f>
        <v>1.2</v>
      </c>
      <c r="L16" s="89">
        <f t="shared" si="4"/>
        <v>12</v>
      </c>
      <c r="M16" s="74">
        <f>M17</f>
        <v>0</v>
      </c>
      <c r="N16" s="74">
        <f>N17</f>
        <v>1.2</v>
      </c>
      <c r="O16" s="89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</v>
      </c>
      <c r="D17" s="70"/>
      <c r="E17" s="73">
        <f>C17+D17</f>
        <v>1</v>
      </c>
      <c r="F17" s="73"/>
      <c r="G17" s="73">
        <v>14.4</v>
      </c>
      <c r="H17" s="70">
        <f>G17+M17</f>
        <v>14.4</v>
      </c>
      <c r="I17" s="79">
        <f t="shared" si="1"/>
        <v>14.4</v>
      </c>
      <c r="J17" s="79">
        <f t="shared" si="5"/>
        <v>0</v>
      </c>
      <c r="K17" s="73">
        <v>1.2</v>
      </c>
      <c r="L17" s="79">
        <f t="shared" si="4"/>
        <v>12</v>
      </c>
      <c r="M17" s="73"/>
      <c r="N17" s="73">
        <v>1.2</v>
      </c>
      <c r="O17" s="79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52</v>
      </c>
      <c r="D18" s="75">
        <f t="shared" si="8"/>
        <v>0</v>
      </c>
      <c r="E18" s="75">
        <f t="shared" si="8"/>
        <v>52</v>
      </c>
      <c r="F18" s="75">
        <f t="shared" si="8"/>
        <v>0</v>
      </c>
      <c r="G18" s="74">
        <f>G19+G22</f>
        <v>9.9</v>
      </c>
      <c r="H18" s="75">
        <f t="shared" si="8"/>
        <v>9.8</v>
      </c>
      <c r="I18" s="89">
        <f t="shared" si="1"/>
        <v>0.18846153846153849</v>
      </c>
      <c r="J18" s="89">
        <f t="shared" si="5"/>
        <v>0</v>
      </c>
      <c r="K18" s="74">
        <f>K19+K22</f>
        <v>1.5</v>
      </c>
      <c r="L18" s="89">
        <f t="shared" si="4"/>
        <v>6.533333333333334</v>
      </c>
      <c r="M18" s="74">
        <f>M19+M22</f>
        <v>-0.1</v>
      </c>
      <c r="N18" s="74">
        <f>N19+N22</f>
        <v>0.4</v>
      </c>
      <c r="O18" s="89">
        <f t="shared" si="2"/>
        <v>-0.25</v>
      </c>
      <c r="P18" s="74">
        <f>P19+P22</f>
        <v>69.10000000000001</v>
      </c>
      <c r="Q18" s="74">
        <f>Q19+Q22</f>
        <v>49.10000000000001</v>
      </c>
      <c r="R18" s="74">
        <f>R19+R22</f>
        <v>48.2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38</v>
      </c>
      <c r="D19" s="70">
        <f t="shared" si="9"/>
        <v>0</v>
      </c>
      <c r="E19" s="70">
        <f t="shared" si="9"/>
        <v>38</v>
      </c>
      <c r="F19" s="70">
        <f t="shared" si="9"/>
        <v>0</v>
      </c>
      <c r="G19" s="73">
        <f>G20+G21</f>
        <v>8.6</v>
      </c>
      <c r="H19" s="70">
        <f t="shared" si="9"/>
        <v>8.5</v>
      </c>
      <c r="I19" s="79">
        <f t="shared" si="1"/>
        <v>0.2236842105263158</v>
      </c>
      <c r="J19" s="79">
        <f t="shared" si="5"/>
        <v>0</v>
      </c>
      <c r="K19" s="73">
        <f>K20+K21</f>
        <v>2.5</v>
      </c>
      <c r="L19" s="79">
        <f t="shared" si="4"/>
        <v>3.4</v>
      </c>
      <c r="M19" s="73">
        <f>M20+M21</f>
        <v>-0.1</v>
      </c>
      <c r="N19" s="73">
        <f>N20+N21</f>
        <v>0.3</v>
      </c>
      <c r="O19" s="79">
        <f t="shared" si="2"/>
        <v>-0.33333333333333337</v>
      </c>
      <c r="P19" s="73">
        <f>P20+P21</f>
        <v>54.900000000000006</v>
      </c>
      <c r="Q19" s="73">
        <f>Q20+Q21</f>
        <v>38.300000000000004</v>
      </c>
      <c r="R19" s="73">
        <f>R20+R21</f>
        <v>38.5</v>
      </c>
    </row>
    <row r="20" spans="1:18" ht="18">
      <c r="A20" s="13" t="s">
        <v>102</v>
      </c>
      <c r="B20" s="13">
        <v>1060603310</v>
      </c>
      <c r="C20" s="73">
        <v>5</v>
      </c>
      <c r="D20" s="70"/>
      <c r="E20" s="73">
        <f>C20+D20</f>
        <v>5</v>
      </c>
      <c r="F20" s="73"/>
      <c r="G20" s="73">
        <v>4.6</v>
      </c>
      <c r="H20" s="70">
        <f>G20+M20</f>
        <v>4.6</v>
      </c>
      <c r="I20" s="79">
        <f t="shared" si="1"/>
        <v>0.9199999999999999</v>
      </c>
      <c r="J20" s="79">
        <f t="shared" si="5"/>
        <v>0</v>
      </c>
      <c r="K20" s="73">
        <v>1.2</v>
      </c>
      <c r="L20" s="79">
        <f t="shared" si="4"/>
        <v>3.833333333333333</v>
      </c>
      <c r="M20" s="73"/>
      <c r="N20" s="73"/>
      <c r="O20" s="79">
        <f t="shared" si="2"/>
        <v>0</v>
      </c>
      <c r="P20" s="73">
        <v>4.7</v>
      </c>
      <c r="Q20" s="73">
        <v>4.7</v>
      </c>
      <c r="R20" s="73">
        <v>4.7</v>
      </c>
    </row>
    <row r="21" spans="1:18" ht="18">
      <c r="A21" s="13" t="s">
        <v>103</v>
      </c>
      <c r="B21" s="13">
        <v>1060604310</v>
      </c>
      <c r="C21" s="73">
        <v>33</v>
      </c>
      <c r="D21" s="70"/>
      <c r="E21" s="73">
        <f>C21+D21</f>
        <v>33</v>
      </c>
      <c r="F21" s="73"/>
      <c r="G21" s="73">
        <v>4</v>
      </c>
      <c r="H21" s="70">
        <f>G21+M21</f>
        <v>3.9</v>
      </c>
      <c r="I21" s="79">
        <f t="shared" si="1"/>
        <v>0.11818181818181818</v>
      </c>
      <c r="J21" s="79">
        <f t="shared" si="5"/>
        <v>0</v>
      </c>
      <c r="K21" s="73">
        <v>1.3</v>
      </c>
      <c r="L21" s="79">
        <f t="shared" si="4"/>
        <v>3</v>
      </c>
      <c r="M21" s="73">
        <v>-0.1</v>
      </c>
      <c r="N21" s="73">
        <v>0.3</v>
      </c>
      <c r="O21" s="79">
        <f t="shared" si="2"/>
        <v>-0.33333333333333337</v>
      </c>
      <c r="P21" s="73">
        <v>50.2</v>
      </c>
      <c r="Q21" s="73">
        <v>33.6</v>
      </c>
      <c r="R21" s="73">
        <v>33.8</v>
      </c>
    </row>
    <row r="22" spans="1:18" ht="18">
      <c r="A22" s="13" t="s">
        <v>12</v>
      </c>
      <c r="B22" s="13">
        <v>1060103010</v>
      </c>
      <c r="C22" s="73">
        <v>14</v>
      </c>
      <c r="D22" s="70"/>
      <c r="E22" s="73">
        <f>C22+D22</f>
        <v>14</v>
      </c>
      <c r="F22" s="73"/>
      <c r="G22" s="73">
        <v>1.3</v>
      </c>
      <c r="H22" s="70">
        <f>G22+M22</f>
        <v>1.3</v>
      </c>
      <c r="I22" s="79">
        <f t="shared" si="1"/>
        <v>0.09285714285714286</v>
      </c>
      <c r="J22" s="79">
        <f t="shared" si="5"/>
        <v>0</v>
      </c>
      <c r="K22" s="73">
        <v>-1</v>
      </c>
      <c r="L22" s="79">
        <f t="shared" si="4"/>
        <v>0</v>
      </c>
      <c r="M22" s="73"/>
      <c r="N22" s="73">
        <v>0.1</v>
      </c>
      <c r="O22" s="79">
        <f t="shared" si="2"/>
        <v>0</v>
      </c>
      <c r="P22" s="73">
        <v>14.2</v>
      </c>
      <c r="Q22" s="73">
        <v>10.8</v>
      </c>
      <c r="R22" s="73">
        <v>9.7</v>
      </c>
    </row>
    <row r="23" spans="1:18" ht="18">
      <c r="A23" s="9" t="s">
        <v>74</v>
      </c>
      <c r="B23" s="30">
        <v>1080402001</v>
      </c>
      <c r="C23" s="74">
        <v>2</v>
      </c>
      <c r="D23" s="75"/>
      <c r="E23" s="74">
        <f>C23+D23</f>
        <v>2</v>
      </c>
      <c r="F23" s="74"/>
      <c r="G23" s="74">
        <v>0.5</v>
      </c>
      <c r="H23" s="75">
        <f>G23+M23</f>
        <v>4.1</v>
      </c>
      <c r="I23" s="89">
        <f t="shared" si="1"/>
        <v>2.05</v>
      </c>
      <c r="J23" s="89">
        <f t="shared" si="5"/>
        <v>0</v>
      </c>
      <c r="K23" s="74">
        <v>3.3</v>
      </c>
      <c r="L23" s="89">
        <f t="shared" si="4"/>
        <v>1.2424242424242424</v>
      </c>
      <c r="M23" s="74">
        <v>3.6</v>
      </c>
      <c r="N23" s="74">
        <v>2.7</v>
      </c>
      <c r="O23" s="89">
        <f t="shared" si="2"/>
        <v>1.3333333333333333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78">
        <f aca="true" t="shared" si="10" ref="C25:H25">C26+C29+C33+C32+C31+C30</f>
        <v>464.51</v>
      </c>
      <c r="D25" s="78">
        <f t="shared" si="10"/>
        <v>213.19</v>
      </c>
      <c r="E25" s="78">
        <f t="shared" si="10"/>
        <v>677.7</v>
      </c>
      <c r="F25" s="78">
        <f t="shared" si="10"/>
        <v>0</v>
      </c>
      <c r="G25" s="78">
        <f>G26+G29+G33+G32+G31+G30</f>
        <v>204.39999999999998</v>
      </c>
      <c r="H25" s="78">
        <f t="shared" si="10"/>
        <v>255.00000000000003</v>
      </c>
      <c r="I25" s="92">
        <f t="shared" si="1"/>
        <v>0.37627268702965916</v>
      </c>
      <c r="J25" s="92">
        <f t="shared" si="5"/>
        <v>0</v>
      </c>
      <c r="K25" s="78">
        <f>K26+K29+K33+K32+K31+K30</f>
        <v>181</v>
      </c>
      <c r="L25" s="92">
        <f t="shared" si="4"/>
        <v>1.408839779005525</v>
      </c>
      <c r="M25" s="78">
        <f>M26+M29+M33+M32+M31+M30</f>
        <v>50.60000000000001</v>
      </c>
      <c r="N25" s="78">
        <f>N26+N29+N33+N32+N31+N30</f>
        <v>64.69999999999999</v>
      </c>
      <c r="O25" s="92">
        <f t="shared" si="2"/>
        <v>0.7820710973724887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7.25" customHeight="1">
      <c r="A26" s="9" t="s">
        <v>76</v>
      </c>
      <c r="B26" s="30">
        <v>1110000000</v>
      </c>
      <c r="C26" s="74">
        <f aca="true" t="shared" si="11" ref="C26:H26">C27+C28</f>
        <v>93</v>
      </c>
      <c r="D26" s="74">
        <f t="shared" si="11"/>
        <v>0</v>
      </c>
      <c r="E26" s="74">
        <f t="shared" si="11"/>
        <v>93</v>
      </c>
      <c r="F26" s="74">
        <f t="shared" si="11"/>
        <v>0</v>
      </c>
      <c r="G26" s="74">
        <f>G27+G28</f>
        <v>29</v>
      </c>
      <c r="H26" s="74">
        <f t="shared" si="11"/>
        <v>42.2</v>
      </c>
      <c r="I26" s="89">
        <f t="shared" si="1"/>
        <v>0.4537634408602151</v>
      </c>
      <c r="J26" s="89">
        <f t="shared" si="5"/>
        <v>0</v>
      </c>
      <c r="K26" s="74">
        <f>K27+K28</f>
        <v>31.3</v>
      </c>
      <c r="L26" s="89">
        <f t="shared" si="4"/>
        <v>1.3482428115015974</v>
      </c>
      <c r="M26" s="74">
        <f>M27+M28</f>
        <v>13.2</v>
      </c>
      <c r="N26" s="74">
        <f>N27+N28</f>
        <v>5.1</v>
      </c>
      <c r="O26" s="89">
        <f t="shared" si="2"/>
        <v>2.588235294117647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.75" customHeight="1" hidden="1">
      <c r="A27" s="13" t="s">
        <v>18</v>
      </c>
      <c r="B27" s="13">
        <v>1110903510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93</v>
      </c>
      <c r="D28" s="70"/>
      <c r="E28" s="73">
        <f t="shared" si="12"/>
        <v>93</v>
      </c>
      <c r="F28" s="73"/>
      <c r="G28" s="73">
        <v>29</v>
      </c>
      <c r="H28" s="70">
        <f t="shared" si="13"/>
        <v>42.2</v>
      </c>
      <c r="I28" s="79">
        <f t="shared" si="1"/>
        <v>0.4537634408602151</v>
      </c>
      <c r="J28" s="79">
        <f t="shared" si="5"/>
        <v>0</v>
      </c>
      <c r="K28" s="73">
        <v>31.3</v>
      </c>
      <c r="L28" s="79">
        <f t="shared" si="4"/>
        <v>1.3482428115015974</v>
      </c>
      <c r="M28" s="73">
        <v>13.2</v>
      </c>
      <c r="N28" s="73">
        <v>5.1</v>
      </c>
      <c r="O28" s="79">
        <f t="shared" si="2"/>
        <v>2.588235294117647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371.51</v>
      </c>
      <c r="D29" s="74">
        <f>75.09+78.1</f>
        <v>153.19</v>
      </c>
      <c r="E29" s="128">
        <f t="shared" si="12"/>
        <v>524.7</v>
      </c>
      <c r="F29" s="74"/>
      <c r="G29" s="74">
        <v>115.2</v>
      </c>
      <c r="H29" s="75">
        <f t="shared" si="13"/>
        <v>152.4</v>
      </c>
      <c r="I29" s="89">
        <f t="shared" si="1"/>
        <v>0.2904516866781018</v>
      </c>
      <c r="J29" s="89">
        <f t="shared" si="5"/>
        <v>0</v>
      </c>
      <c r="K29" s="74">
        <v>149.1</v>
      </c>
      <c r="L29" s="89">
        <f t="shared" si="4"/>
        <v>1.0221327967806841</v>
      </c>
      <c r="M29" s="74">
        <v>37.2</v>
      </c>
      <c r="N29" s="74">
        <v>59.5</v>
      </c>
      <c r="O29" s="89">
        <f t="shared" si="2"/>
        <v>0.6252100840336134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>
        <v>60</v>
      </c>
      <c r="E32" s="74">
        <f t="shared" si="12"/>
        <v>60</v>
      </c>
      <c r="F32" s="74"/>
      <c r="G32" s="74">
        <v>60</v>
      </c>
      <c r="H32" s="75">
        <f t="shared" si="13"/>
        <v>60</v>
      </c>
      <c r="I32" s="89">
        <f>IF(E32&gt;0,H32/E32,0)</f>
        <v>1</v>
      </c>
      <c r="J32" s="89">
        <f>IF(F32&gt;0,H32/F32,0)</f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0.2</v>
      </c>
      <c r="H33" s="74">
        <f t="shared" si="14"/>
        <v>0.4</v>
      </c>
      <c r="I33" s="89">
        <f>IF(E33&gt;0,H33/E33,0)</f>
        <v>0</v>
      </c>
      <c r="J33" s="89">
        <f>IF(F33&gt;0,H33/F33,0)</f>
        <v>0</v>
      </c>
      <c r="K33" s="74">
        <f>SUM(K34:K35)</f>
        <v>0.6</v>
      </c>
      <c r="L33" s="89">
        <f t="shared" si="4"/>
        <v>0.6666666666666667</v>
      </c>
      <c r="M33" s="74">
        <f t="shared" si="14"/>
        <v>0.2</v>
      </c>
      <c r="N33" s="74">
        <f t="shared" si="14"/>
        <v>0.1</v>
      </c>
      <c r="O33" s="89">
        <f t="shared" si="2"/>
        <v>2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aca="true" t="shared" si="15" ref="O34:O40">IF(N34&gt;0,M34/N34,0)</f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84"/>
      <c r="E35" s="73">
        <f>C35+D35</f>
        <v>0</v>
      </c>
      <c r="F35" s="73"/>
      <c r="G35" s="73">
        <v>0.2</v>
      </c>
      <c r="H35" s="70">
        <f>G35+M35</f>
        <v>0.4</v>
      </c>
      <c r="I35" s="79">
        <f>IF(E35&gt;0,H35/E35,0)</f>
        <v>0</v>
      </c>
      <c r="J35" s="79">
        <f>IF(F35&gt;0,H35/F35,0)</f>
        <v>0</v>
      </c>
      <c r="K35" s="73">
        <v>0.6</v>
      </c>
      <c r="L35" s="79">
        <f>IF(K35&gt;0,H35/K35,0)</f>
        <v>0.6666666666666667</v>
      </c>
      <c r="M35" s="73">
        <v>0.2</v>
      </c>
      <c r="N35" s="73">
        <v>0.1</v>
      </c>
      <c r="O35" s="79">
        <f t="shared" si="15"/>
        <v>2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0">
        <f aca="true" t="shared" si="16" ref="C36:H36">C5+C25</f>
        <v>1303.11</v>
      </c>
      <c r="D36" s="80">
        <f t="shared" si="16"/>
        <v>413.19</v>
      </c>
      <c r="E36" s="80">
        <f t="shared" si="16"/>
        <v>1716.3</v>
      </c>
      <c r="F36" s="81">
        <f t="shared" si="16"/>
        <v>0</v>
      </c>
      <c r="G36" s="81">
        <f>G5+G25</f>
        <v>556.5</v>
      </c>
      <c r="H36" s="81">
        <f t="shared" si="16"/>
        <v>669.9</v>
      </c>
      <c r="I36" s="93">
        <f t="shared" si="1"/>
        <v>0.3903163782555497</v>
      </c>
      <c r="J36" s="93">
        <f t="shared" si="5"/>
        <v>0</v>
      </c>
      <c r="K36" s="81">
        <f>K5+K25</f>
        <v>557.2</v>
      </c>
      <c r="L36" s="93">
        <f t="shared" si="4"/>
        <v>1.2022613065326633</v>
      </c>
      <c r="M36" s="81">
        <f>M5+M25</f>
        <v>113.4</v>
      </c>
      <c r="N36" s="81">
        <f>N5+N25</f>
        <v>132.7</v>
      </c>
      <c r="O36" s="93">
        <f t="shared" si="15"/>
        <v>0.8545591559909571</v>
      </c>
      <c r="P36" s="81">
        <f>P5+P25</f>
        <v>69.10000000000001</v>
      </c>
      <c r="Q36" s="81">
        <f>Q5+Q25</f>
        <v>49.10000000000001</v>
      </c>
      <c r="R36" s="81">
        <f>R5+R25</f>
        <v>48.2</v>
      </c>
    </row>
    <row r="37" spans="1:18" ht="18">
      <c r="A37" s="9" t="s">
        <v>94</v>
      </c>
      <c r="B37" s="9"/>
      <c r="C37" s="81">
        <f aca="true" t="shared" si="17" ref="C37:H37">C36-C11</f>
        <v>746.81</v>
      </c>
      <c r="D37" s="90">
        <f t="shared" si="17"/>
        <v>413.19</v>
      </c>
      <c r="E37" s="81">
        <f t="shared" si="17"/>
        <v>1160</v>
      </c>
      <c r="F37" s="81">
        <f t="shared" si="17"/>
        <v>0</v>
      </c>
      <c r="G37" s="81">
        <f>G36-G11</f>
        <v>328.1</v>
      </c>
      <c r="H37" s="81">
        <f t="shared" si="17"/>
        <v>394.5</v>
      </c>
      <c r="I37" s="93">
        <f>IF(E37&gt;0,H37/E37,0)</f>
        <v>0.3400862068965517</v>
      </c>
      <c r="J37" s="93">
        <f>IF(F37&gt;0,H37/F37,0)</f>
        <v>0</v>
      </c>
      <c r="K37" s="81">
        <f>K36-K11</f>
        <v>296.70000000000005</v>
      </c>
      <c r="L37" s="93">
        <f t="shared" si="4"/>
        <v>1.3296258847320523</v>
      </c>
      <c r="M37" s="81">
        <f>M36-M11</f>
        <v>66.4</v>
      </c>
      <c r="N37" s="81">
        <f>N36-N11</f>
        <v>89.29999999999998</v>
      </c>
      <c r="O37" s="93">
        <f t="shared" si="15"/>
        <v>0.7435610302351626</v>
      </c>
      <c r="P37" s="81"/>
      <c r="Q37" s="81"/>
      <c r="R37" s="81"/>
    </row>
    <row r="38" spans="1:18" ht="18">
      <c r="A38" s="13" t="s">
        <v>37</v>
      </c>
      <c r="B38" s="13">
        <v>2000000000</v>
      </c>
      <c r="C38" s="73">
        <v>2709.124</v>
      </c>
      <c r="D38" s="85"/>
      <c r="E38" s="85">
        <f>C38+D38</f>
        <v>2709.124</v>
      </c>
      <c r="F38" s="73"/>
      <c r="G38" s="73">
        <v>1594.3</v>
      </c>
      <c r="H38" s="70">
        <f>G38+M38</f>
        <v>1736.1</v>
      </c>
      <c r="I38" s="79">
        <f t="shared" si="1"/>
        <v>0.6408344542368677</v>
      </c>
      <c r="J38" s="79">
        <f t="shared" si="5"/>
        <v>0</v>
      </c>
      <c r="K38" s="73">
        <v>1847.5</v>
      </c>
      <c r="L38" s="79">
        <f t="shared" si="4"/>
        <v>0.9397023004059539</v>
      </c>
      <c r="M38" s="73">
        <v>141.8</v>
      </c>
      <c r="N38" s="73">
        <v>150</v>
      </c>
      <c r="O38" s="79">
        <f t="shared" si="15"/>
        <v>0.9453333333333334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/>
      <c r="D39" s="85">
        <v>277</v>
      </c>
      <c r="E39" s="73">
        <f>C39+D39</f>
        <v>277</v>
      </c>
      <c r="F39" s="73"/>
      <c r="G39" s="73">
        <v>277.5</v>
      </c>
      <c r="H39" s="70">
        <f>G39+M39</f>
        <v>277.5</v>
      </c>
      <c r="I39" s="79">
        <f>IF(E39&gt;0,H39/E39,0)</f>
        <v>1.0018050541516246</v>
      </c>
      <c r="J39" s="79">
        <f>IF(F39&gt;0,H39/F39,0)</f>
        <v>0</v>
      </c>
      <c r="K39" s="73">
        <v>196.2</v>
      </c>
      <c r="L39" s="79">
        <f t="shared" si="4"/>
        <v>1.4143730886850154</v>
      </c>
      <c r="M39" s="73"/>
      <c r="N39" s="73"/>
      <c r="O39" s="79">
        <f t="shared" si="15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80">
        <f aca="true" t="shared" si="18" ref="C40:H40">C36+C38+C39</f>
        <v>4012.2339999999995</v>
      </c>
      <c r="D40" s="80">
        <f t="shared" si="18"/>
        <v>690.19</v>
      </c>
      <c r="E40" s="80">
        <f t="shared" si="18"/>
        <v>4702.424</v>
      </c>
      <c r="F40" s="81">
        <f t="shared" si="18"/>
        <v>0</v>
      </c>
      <c r="G40" s="81">
        <f t="shared" si="18"/>
        <v>2428.3</v>
      </c>
      <c r="H40" s="81">
        <f t="shared" si="18"/>
        <v>2683.5</v>
      </c>
      <c r="I40" s="93">
        <f t="shared" si="1"/>
        <v>0.5706631303344828</v>
      </c>
      <c r="J40" s="93"/>
      <c r="K40" s="81">
        <f>K36+K38+K39</f>
        <v>2600.8999999999996</v>
      </c>
      <c r="L40" s="93">
        <f t="shared" si="4"/>
        <v>1.0317582375331618</v>
      </c>
      <c r="M40" s="81">
        <f>M36+M38+M39</f>
        <v>255.20000000000002</v>
      </c>
      <c r="N40" s="81">
        <f>N36+N38+N39</f>
        <v>282.7</v>
      </c>
      <c r="O40" s="93">
        <f t="shared" si="15"/>
        <v>0.9027237354085604</v>
      </c>
      <c r="P40" s="81">
        <f>P36+P38+P39</f>
        <v>69.10000000000001</v>
      </c>
      <c r="Q40" s="81">
        <f>Q36+Q38+Q39</f>
        <v>49.10000000000001</v>
      </c>
      <c r="R40" s="81">
        <f>R36+R38+R39</f>
        <v>48.2</v>
      </c>
    </row>
    <row r="41" spans="7:9" ht="18" customHeight="1">
      <c r="G41" s="5"/>
      <c r="I41" s="161"/>
    </row>
    <row r="42" ht="12.75">
      <c r="G42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2" ySplit="6" topLeftCell="D3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4" sqref="R24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7.875" style="0" customWidth="1"/>
    <col min="6" max="6" width="11.25390625" style="0" hidden="1" customWidth="1"/>
    <col min="7" max="8" width="13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3.625" style="0" customWidth="1"/>
    <col min="14" max="14" width="12.875" style="0" customWidth="1"/>
    <col min="15" max="15" width="14.00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16.5" customHeight="1">
      <c r="A2" s="180" t="s">
        <v>130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5.75" customHeight="1">
      <c r="A3" s="177" t="s">
        <v>3</v>
      </c>
      <c r="B3" s="177" t="s">
        <v>4</v>
      </c>
      <c r="C3" s="176" t="s">
        <v>114</v>
      </c>
      <c r="D3" s="176" t="s">
        <v>24</v>
      </c>
      <c r="E3" s="176" t="s">
        <v>115</v>
      </c>
      <c r="F3" s="176" t="s">
        <v>101</v>
      </c>
      <c r="G3" s="176" t="s">
        <v>118</v>
      </c>
      <c r="H3" s="176" t="s">
        <v>116</v>
      </c>
      <c r="I3" s="176"/>
      <c r="J3" s="176"/>
      <c r="K3" s="176" t="s">
        <v>108</v>
      </c>
      <c r="L3" s="176"/>
      <c r="M3" s="176" t="s">
        <v>121</v>
      </c>
      <c r="N3" s="176" t="s">
        <v>122</v>
      </c>
      <c r="O3" s="176" t="s">
        <v>30</v>
      </c>
      <c r="P3" s="176" t="s">
        <v>9</v>
      </c>
      <c r="Q3" s="176"/>
      <c r="R3" s="176"/>
    </row>
    <row r="4" spans="1:18" ht="99" customHeight="1">
      <c r="A4" s="178"/>
      <c r="B4" s="178"/>
      <c r="C4" s="176"/>
      <c r="D4" s="176"/>
      <c r="E4" s="176"/>
      <c r="F4" s="176"/>
      <c r="G4" s="176"/>
      <c r="H4" s="129" t="s">
        <v>120</v>
      </c>
      <c r="I4" s="129" t="s">
        <v>10</v>
      </c>
      <c r="J4" s="129" t="s">
        <v>29</v>
      </c>
      <c r="K4" s="129" t="s">
        <v>120</v>
      </c>
      <c r="L4" s="129" t="s">
        <v>30</v>
      </c>
      <c r="M4" s="176"/>
      <c r="N4" s="176"/>
      <c r="O4" s="176"/>
      <c r="P4" s="127" t="s">
        <v>117</v>
      </c>
      <c r="Q4" s="127" t="s">
        <v>119</v>
      </c>
      <c r="R4" s="127" t="s">
        <v>124</v>
      </c>
    </row>
    <row r="5" spans="1:18" ht="18">
      <c r="A5" s="7" t="s">
        <v>21</v>
      </c>
      <c r="B5" s="17"/>
      <c r="C5" s="96">
        <f aca="true" t="shared" si="0" ref="C5:H5">C6+C11+C16+C22+C26+C27</f>
        <v>64391.07999999999</v>
      </c>
      <c r="D5" s="96">
        <f t="shared" si="0"/>
        <v>1566.818</v>
      </c>
      <c r="E5" s="126">
        <f t="shared" si="0"/>
        <v>65957.898</v>
      </c>
      <c r="F5" s="96">
        <f t="shared" si="0"/>
        <v>23524.9</v>
      </c>
      <c r="G5" s="96">
        <f t="shared" si="0"/>
        <v>30003.2</v>
      </c>
      <c r="H5" s="122">
        <f t="shared" si="0"/>
        <v>34210.4</v>
      </c>
      <c r="I5" s="97">
        <f>IF(E5&gt;0,H5/E5,0)</f>
        <v>0.5186702584124194</v>
      </c>
      <c r="J5" s="97">
        <f>IF(F5&gt;0,H5/F5,0)</f>
        <v>1.454220846847383</v>
      </c>
      <c r="K5" s="96">
        <f>K6+K11+K16+K22+K26+K27</f>
        <v>32453.800000000003</v>
      </c>
      <c r="L5" s="97">
        <f>IF(K5&gt;0,H5/K5,0)</f>
        <v>1.0541261732062193</v>
      </c>
      <c r="M5" s="96">
        <f>M6+M11+M16+M22+M26+M27</f>
        <v>4207.2</v>
      </c>
      <c r="N5" s="96">
        <f>N6+N11+N16+N22+N26+N27</f>
        <v>5089.7</v>
      </c>
      <c r="O5" s="97">
        <f>IF(N5&gt;0,M5/N5,0)</f>
        <v>0.8266106057331474</v>
      </c>
      <c r="P5" s="122">
        <f>P6+P11+P16+P22+P26+P27</f>
        <v>2856.8</v>
      </c>
      <c r="Q5" s="96">
        <f>Q6+Q11+Q16+Q22+Q26+Q27</f>
        <v>1889.0000000000002</v>
      </c>
      <c r="R5" s="96">
        <f>R6+R11+R16+R22+R26+R27</f>
        <v>2077.1000000000004</v>
      </c>
    </row>
    <row r="6" spans="1:18" ht="18">
      <c r="A6" s="9" t="s">
        <v>65</v>
      </c>
      <c r="B6" s="18">
        <v>1010200001</v>
      </c>
      <c r="C6" s="98">
        <f aca="true" t="shared" si="1" ref="C6:H6">C7+C8+C9+C10</f>
        <v>18888.899999999994</v>
      </c>
      <c r="D6" s="160">
        <f t="shared" si="1"/>
        <v>1147.018</v>
      </c>
      <c r="E6" s="160">
        <f t="shared" si="1"/>
        <v>20035.917999999994</v>
      </c>
      <c r="F6" s="98">
        <f t="shared" si="1"/>
        <v>9900.000000000002</v>
      </c>
      <c r="G6" s="98">
        <f t="shared" si="1"/>
        <v>8078.199999999999</v>
      </c>
      <c r="H6" s="98">
        <f t="shared" si="1"/>
        <v>9727.099999999999</v>
      </c>
      <c r="I6" s="99">
        <f aca="true" t="shared" si="2" ref="I6:I51">IF(E6&gt;0,H6/E6,0)</f>
        <v>0.48548312086324175</v>
      </c>
      <c r="J6" s="99">
        <f aca="true" t="shared" si="3" ref="J6:J51">IF(F6&gt;0,H6/F6,0)</f>
        <v>0.9825353535353533</v>
      </c>
      <c r="K6" s="98">
        <f>K7+K8+K9+K10</f>
        <v>8844.400000000001</v>
      </c>
      <c r="L6" s="99">
        <f aca="true" t="shared" si="4" ref="L6:L51">IF(K6&gt;0,H6/K6,0)</f>
        <v>1.0998032653430416</v>
      </c>
      <c r="M6" s="98">
        <f>M7+M8+M9+M10</f>
        <v>1648.8999999999999</v>
      </c>
      <c r="N6" s="98">
        <f>N7+N8+N9+N10</f>
        <v>1614.5</v>
      </c>
      <c r="O6" s="99">
        <f aca="true" t="shared" si="5" ref="O6:O51">IF(N6&gt;0,M6/N6,0)</f>
        <v>1.0213069061628985</v>
      </c>
      <c r="P6" s="98">
        <f>P7+P8+P9+P10</f>
        <v>107.19999999999999</v>
      </c>
      <c r="Q6" s="98">
        <f>Q7+Q8+Q9+Q10</f>
        <v>54.400000000000006</v>
      </c>
      <c r="R6" s="98">
        <f>R7+R8+R9+R10</f>
        <v>77.60000000000001</v>
      </c>
    </row>
    <row r="7" spans="1:18" ht="18" customHeight="1">
      <c r="A7" s="10" t="s">
        <v>41</v>
      </c>
      <c r="B7" s="13">
        <v>1010201001</v>
      </c>
      <c r="C7" s="100">
        <f>муниц!C6+'Лен '!C7+Высокор!C7+Гост!C7+Новотр!C7+Черн!C7</f>
        <v>18808.599999999995</v>
      </c>
      <c r="D7" s="120">
        <f>муниц!D6+'Лен '!D7+Высокор!D7+Гост!D7+Новотр!D7+Черн!D7</f>
        <v>1147.018</v>
      </c>
      <c r="E7" s="104">
        <f>C7+D7</f>
        <v>19955.617999999995</v>
      </c>
      <c r="F7" s="100">
        <f>муниц!F6+'Лен '!F7+Высокор!F7+Гост!F7+Новотр!F7+Черн!F7</f>
        <v>9824.7</v>
      </c>
      <c r="G7" s="100">
        <f>муниц!G6+'Лен '!G7+Высокор!G7+Гост!G7+Новотр!G7+Черн!G7</f>
        <v>8043.899999999999</v>
      </c>
      <c r="H7" s="102">
        <f>G7+M7</f>
        <v>9679.899999999998</v>
      </c>
      <c r="I7" s="103">
        <f t="shared" si="2"/>
        <v>0.48507142199254366</v>
      </c>
      <c r="J7" s="103">
        <f t="shared" si="3"/>
        <v>0.9852616364876279</v>
      </c>
      <c r="K7" s="100">
        <f>муниц!K6+'Лен '!K7+Высокор!K7+Гост!K7+Новотр!K7+Черн!K7</f>
        <v>8724.400000000001</v>
      </c>
      <c r="L7" s="103">
        <f t="shared" si="4"/>
        <v>1.1095204254733846</v>
      </c>
      <c r="M7" s="100">
        <f>муниц!M6+'Лен '!M7+Высокор!M7+Гост!M7+Новотр!M7+Черн!M7</f>
        <v>1635.9999999999998</v>
      </c>
      <c r="N7" s="100">
        <f>муниц!N6+'Лен '!N7+Высокор!N7+Гост!N7+Новотр!N7+Черн!N7</f>
        <v>1536.1</v>
      </c>
      <c r="O7" s="103">
        <f t="shared" si="5"/>
        <v>1.0650348284616886</v>
      </c>
      <c r="P7" s="100">
        <f>муниц!P6+'Лен '!P7+Высокор!P7+Гост!P7+Новотр!P7+Черн!P7</f>
        <v>97.49999999999999</v>
      </c>
      <c r="Q7" s="100">
        <f>муниц!Q6+'Лен '!Q7+Высокор!Q7+Гост!Q7+Новотр!Q7+Черн!Q7</f>
        <v>50.2</v>
      </c>
      <c r="R7" s="100">
        <f>муниц!R6+'Лен '!R7+Высокор!R7+Гост!R7+Новотр!R7+Черн!R7</f>
        <v>73.4</v>
      </c>
    </row>
    <row r="8" spans="1:18" ht="18.75" customHeight="1">
      <c r="A8" s="10" t="s">
        <v>42</v>
      </c>
      <c r="B8" s="13">
        <v>1010202001</v>
      </c>
      <c r="C8" s="100">
        <f>муниц!C7+'Лен '!C8+Высокор!C8+Гост!C8+Новотр!C8+Черн!C8</f>
        <v>53.1</v>
      </c>
      <c r="D8" s="100">
        <f>муниц!D7+'Лен '!D8+Высокор!D8+Гост!D8+Новотр!D8+Черн!D8</f>
        <v>0</v>
      </c>
      <c r="E8" s="104">
        <f>C8+D8</f>
        <v>53.1</v>
      </c>
      <c r="F8" s="100">
        <f>муниц!F7+'Лен '!F8+Высокор!F8+Гост!F8+Новотр!F8+Черн!F8</f>
        <v>26.1</v>
      </c>
      <c r="G8" s="100">
        <f>муниц!G7+'Лен '!G8+Высокор!G8+Гост!G8+Новотр!G8+Черн!G8</f>
        <v>1</v>
      </c>
      <c r="H8" s="102">
        <f>G8+M8</f>
        <v>9.2</v>
      </c>
      <c r="I8" s="103">
        <f t="shared" si="2"/>
        <v>0.17325800376647832</v>
      </c>
      <c r="J8" s="103">
        <f t="shared" si="3"/>
        <v>0.3524904214559387</v>
      </c>
      <c r="K8" s="100">
        <f>муниц!K7+'Лен '!K8+Высокор!K8+Гост!K8+Новотр!K8+Черн!K8</f>
        <v>23.4</v>
      </c>
      <c r="L8" s="103">
        <f t="shared" si="4"/>
        <v>0.39316239316239315</v>
      </c>
      <c r="M8" s="100">
        <f>муниц!M7+'Лен '!M8+Высокор!M8+Гост!M8+Новотр!M8+Черн!M8</f>
        <v>8.2</v>
      </c>
      <c r="N8" s="100">
        <f>муниц!N7+'Лен '!N8+Высокор!N8+Гост!N8+Новотр!N8+Черн!N8</f>
        <v>20.7</v>
      </c>
      <c r="O8" s="103">
        <f t="shared" si="5"/>
        <v>0.3961352657004831</v>
      </c>
      <c r="P8" s="100">
        <f>муниц!P7+'Лен '!P8+Высокор!P8+Гост!P8+Новотр!P8+Черн!P8</f>
        <v>5.5</v>
      </c>
      <c r="Q8" s="100">
        <f>муниц!Q7+'Лен '!Q8+Высокор!Q8+Гост!Q8+Новотр!Q8+Черн!Q8</f>
        <v>0</v>
      </c>
      <c r="R8" s="100">
        <f>муниц!R7+'Лен '!R8+Высокор!R8+Гост!R8+Новотр!R8+Черн!R8</f>
        <v>0</v>
      </c>
    </row>
    <row r="9" spans="1:18" ht="17.25" customHeight="1">
      <c r="A9" s="10" t="s">
        <v>43</v>
      </c>
      <c r="B9" s="13">
        <v>1010203001</v>
      </c>
      <c r="C9" s="100">
        <f>муниц!C8+'Лен '!C9+Высокор!C9+Гост!C9+Новотр!C9+Черн!C9</f>
        <v>27.200000000000003</v>
      </c>
      <c r="D9" s="100">
        <f>муниц!D8+'Лен '!D9+Высокор!D9+Гост!D9+Новотр!D9+Черн!D9</f>
        <v>0</v>
      </c>
      <c r="E9" s="104">
        <f>C9+D9</f>
        <v>27.200000000000003</v>
      </c>
      <c r="F9" s="100">
        <f>муниц!F8+'Лен '!F9+Высокор!F9+Гост!F9+Новотр!F9+Черн!F9</f>
        <v>47</v>
      </c>
      <c r="G9" s="100">
        <f>муниц!G8+'Лен '!G9+Высокор!G9+Гост!G9+Новотр!G9+Черн!G9</f>
        <v>33.3</v>
      </c>
      <c r="H9" s="102">
        <f>G9+M9</f>
        <v>38</v>
      </c>
      <c r="I9" s="103">
        <f t="shared" si="2"/>
        <v>1.3970588235294117</v>
      </c>
      <c r="J9" s="103">
        <f t="shared" si="3"/>
        <v>0.8085106382978723</v>
      </c>
      <c r="K9" s="100">
        <f>муниц!K8+'Лен '!K9+Высокор!K9+Гост!K9+Новотр!K9+Черн!K9</f>
        <v>96.6</v>
      </c>
      <c r="L9" s="103">
        <f t="shared" si="4"/>
        <v>0.39337474120082816</v>
      </c>
      <c r="M9" s="100">
        <f>муниц!M8+'Лен '!M9+Высокор!M9+Гост!M9+Новотр!M9+Черн!M9</f>
        <v>4.7</v>
      </c>
      <c r="N9" s="100">
        <f>муниц!N8+'Лен '!N9+Высокор!N9+Гост!N9+Новотр!N9+Черн!N9</f>
        <v>57.7</v>
      </c>
      <c r="O9" s="103">
        <f t="shared" si="5"/>
        <v>0.08145580589254765</v>
      </c>
      <c r="P9" s="100">
        <f>муниц!P8+'Лен '!P9+Высокор!P9+Гост!P9+Новотр!P9+Черн!P9</f>
        <v>4.199999999999999</v>
      </c>
      <c r="Q9" s="100">
        <f>муниц!Q8+'Лен '!Q9+Высокор!Q9+Гост!Q9+Новотр!Q9+Черн!Q9</f>
        <v>4.199999999999999</v>
      </c>
      <c r="R9" s="100">
        <f>муниц!R8+'Лен '!R9+Высокор!R9+Гост!R9+Новотр!R9+Черн!R9</f>
        <v>4.199999999999999</v>
      </c>
    </row>
    <row r="10" spans="1:18" ht="18" hidden="1">
      <c r="A10" s="10" t="s">
        <v>33</v>
      </c>
      <c r="B10" s="13">
        <v>1010204001</v>
      </c>
      <c r="C10" s="100">
        <f>муниц!C9</f>
        <v>0</v>
      </c>
      <c r="D10" s="100">
        <f>муниц!D9+Высокор!D10+Гост!D10+Новотр!D9+Черн!D9</f>
        <v>0</v>
      </c>
      <c r="E10" s="104">
        <f>C10+D10</f>
        <v>0</v>
      </c>
      <c r="F10" s="100">
        <f>муниц!F9</f>
        <v>2.2</v>
      </c>
      <c r="G10" s="100">
        <f>муниц!G9+Гост!G10+Высокор!G10</f>
        <v>0</v>
      </c>
      <c r="H10" s="102">
        <f>G10+M10</f>
        <v>0</v>
      </c>
      <c r="I10" s="103">
        <f t="shared" si="2"/>
        <v>0</v>
      </c>
      <c r="J10" s="103">
        <f t="shared" si="3"/>
        <v>0</v>
      </c>
      <c r="K10" s="100">
        <f>муниц!K9+Гост!K10+Высокор!K10</f>
        <v>0</v>
      </c>
      <c r="L10" s="103">
        <f t="shared" si="4"/>
        <v>0</v>
      </c>
      <c r="M10" s="100">
        <f>муниц!M9+Гост!M10+Высокор!M10</f>
        <v>0</v>
      </c>
      <c r="N10" s="100">
        <f>муниц!N9+Гост!N10+Высокор!N10</f>
        <v>0</v>
      </c>
      <c r="O10" s="103">
        <f t="shared" si="5"/>
        <v>0</v>
      </c>
      <c r="P10" s="100">
        <f>муниц!P9</f>
        <v>0</v>
      </c>
      <c r="Q10" s="100">
        <f>муниц!Q9</f>
        <v>0</v>
      </c>
      <c r="R10" s="100">
        <f>муниц!R9</f>
        <v>0</v>
      </c>
    </row>
    <row r="11" spans="1:18" ht="18" customHeight="1">
      <c r="A11" s="11" t="s">
        <v>50</v>
      </c>
      <c r="B11" s="19">
        <v>1030200001</v>
      </c>
      <c r="C11" s="105">
        <f aca="true" t="shared" si="6" ref="C11:H11">SUM(C12:C15)</f>
        <v>9375.48</v>
      </c>
      <c r="D11" s="105">
        <f t="shared" si="6"/>
        <v>0</v>
      </c>
      <c r="E11" s="105">
        <f t="shared" si="6"/>
        <v>9375.48</v>
      </c>
      <c r="F11" s="105">
        <f t="shared" si="6"/>
        <v>0</v>
      </c>
      <c r="G11" s="105">
        <f t="shared" si="6"/>
        <v>3854.7999999999993</v>
      </c>
      <c r="H11" s="105">
        <f t="shared" si="6"/>
        <v>4647.5</v>
      </c>
      <c r="I11" s="99">
        <f t="shared" si="2"/>
        <v>0.49570795308613536</v>
      </c>
      <c r="J11" s="99">
        <f t="shared" si="3"/>
        <v>0</v>
      </c>
      <c r="K11" s="105">
        <f>SUM(K12:K15)</f>
        <v>4402.299999999999</v>
      </c>
      <c r="L11" s="99">
        <f t="shared" si="4"/>
        <v>1.05569815778116</v>
      </c>
      <c r="M11" s="105">
        <f>SUM(M12:M15)</f>
        <v>792.6999999999999</v>
      </c>
      <c r="N11" s="105">
        <f>SUM(N12:N15)</f>
        <v>732.9000000000001</v>
      </c>
      <c r="O11" s="99">
        <f t="shared" si="5"/>
        <v>1.081593668986219</v>
      </c>
      <c r="P11" s="105">
        <f>SUM(P12:P15)</f>
        <v>0</v>
      </c>
      <c r="Q11" s="105">
        <f>SUM(Q12:Q15)</f>
        <v>0</v>
      </c>
      <c r="R11" s="105">
        <f>SUM(R12:R15)</f>
        <v>0</v>
      </c>
    </row>
    <row r="12" spans="1:18" ht="18">
      <c r="A12" s="12" t="s">
        <v>51</v>
      </c>
      <c r="B12" s="12">
        <v>1030223001</v>
      </c>
      <c r="C12" s="100">
        <f>муниц!C11+'Лен '!C11+Высокор!C12+Гост!C12+Новотр!C12+Черн!C12</f>
        <v>3297.8499999999995</v>
      </c>
      <c r="D12" s="100">
        <f>муниц!D11+'Лен '!D11+Высокор!D12+Гост!D12+Новотр!D12+Черн!D12</f>
        <v>0</v>
      </c>
      <c r="E12" s="104">
        <f>C12+D12</f>
        <v>3297.8499999999995</v>
      </c>
      <c r="F12" s="100">
        <f>муниц!F11+'Лен '!F11+Высокор!F12+Гост!F12+Новотр!F12+Черн!F12</f>
        <v>0</v>
      </c>
      <c r="G12" s="100">
        <f>муниц!G11+'Лен '!G11+Высокор!G12+Гост!G12+Новотр!G12+Черн!G12</f>
        <v>1664.3</v>
      </c>
      <c r="H12" s="102">
        <f>G12+M12</f>
        <v>2014.1</v>
      </c>
      <c r="I12" s="103">
        <f t="shared" si="2"/>
        <v>0.6107312339857787</v>
      </c>
      <c r="J12" s="103">
        <f t="shared" si="3"/>
        <v>0</v>
      </c>
      <c r="K12" s="100">
        <f>муниц!K11+'Лен '!K11+Высокор!K12+Гост!K12+Новотр!K12+Черн!K12</f>
        <v>1738.3999999999999</v>
      </c>
      <c r="L12" s="103">
        <f t="shared" si="4"/>
        <v>1.158594109526001</v>
      </c>
      <c r="M12" s="100">
        <f>муниц!M11+'Лен '!M11+Высокор!M12+Гост!M12+Новотр!M12+Черн!M12</f>
        <v>349.8</v>
      </c>
      <c r="N12" s="100">
        <f>муниц!N11+'Лен '!N11+Высокор!N12+Гост!N12+Новотр!N12+Черн!N12</f>
        <v>298.7</v>
      </c>
      <c r="O12" s="103">
        <f t="shared" si="5"/>
        <v>1.1710746568463342</v>
      </c>
      <c r="P12" s="100">
        <f>муниц!P11+'Лен '!P11+Высокор!P12+Гост!P12+Новотр!P12+Черн!P12</f>
        <v>0</v>
      </c>
      <c r="Q12" s="100">
        <f>муниц!Q11+'Лен '!Q11+Высокор!Q12+Гост!Q12+Новотр!Q12+Черн!Q12</f>
        <v>0</v>
      </c>
      <c r="R12" s="100">
        <f>муниц!R11+'Лен '!R11+Высокор!R12+Гост!R12+Новотр!R12+Черн!R12</f>
        <v>0</v>
      </c>
    </row>
    <row r="13" spans="1:18" ht="18">
      <c r="A13" s="12" t="s">
        <v>52</v>
      </c>
      <c r="B13" s="12">
        <v>1030224001</v>
      </c>
      <c r="C13" s="100">
        <f>муниц!C12+'Лен '!C12+Высокор!C13+Гост!C13+Новотр!C13+Черн!C13</f>
        <v>27.16</v>
      </c>
      <c r="D13" s="100">
        <f>муниц!D12+'Лен '!D12+Высокор!D13+Гост!D13+Новотр!D13+Черн!D13</f>
        <v>0</v>
      </c>
      <c r="E13" s="104">
        <f>C13+D13</f>
        <v>27.16</v>
      </c>
      <c r="F13" s="100">
        <f>муниц!F12+'Лен '!F12+Высокор!F13+Гост!F13+Новотр!F13+Черн!F13</f>
        <v>0</v>
      </c>
      <c r="G13" s="100">
        <f>муниц!G12+'Лен '!G12+Высокор!G13+Гост!G13+Новотр!G13+Черн!G13</f>
        <v>12.299999999999999</v>
      </c>
      <c r="H13" s="102">
        <f>G13+M13</f>
        <v>15.399999999999999</v>
      </c>
      <c r="I13" s="103">
        <f t="shared" si="2"/>
        <v>0.5670103092783505</v>
      </c>
      <c r="J13" s="103">
        <f t="shared" si="3"/>
        <v>0</v>
      </c>
      <c r="K13" s="100">
        <f>муниц!K12+'Лен '!K12+Высокор!K13+Гост!K13+Новотр!K13+Черн!K13</f>
        <v>19.000000000000004</v>
      </c>
      <c r="L13" s="103">
        <f t="shared" si="4"/>
        <v>0.8105263157894734</v>
      </c>
      <c r="M13" s="100">
        <f>муниц!M12+'Лен '!M12+Высокор!M13+Гост!M13+Новотр!M13+Черн!M13</f>
        <v>3.1000000000000005</v>
      </c>
      <c r="N13" s="100">
        <f>муниц!N12+'Лен '!N12+Высокор!N13+Гост!N13+Новотр!N13+Черн!N13</f>
        <v>3.5000000000000004</v>
      </c>
      <c r="O13" s="103">
        <f t="shared" si="5"/>
        <v>0.8857142857142858</v>
      </c>
      <c r="P13" s="100">
        <f>муниц!P12+'Лен '!P12+Высокор!P13+Гост!P13+Новотр!P13+Черн!P13</f>
        <v>0</v>
      </c>
      <c r="Q13" s="100">
        <f>муниц!Q12+'Лен '!Q12+Высокор!Q13+Гост!Q13+Новотр!Q13+Черн!Q13</f>
        <v>0</v>
      </c>
      <c r="R13" s="100">
        <f>муниц!R12+'Лен '!R12+Высокор!R13+Гост!R13+Новотр!R13+Черн!R13</f>
        <v>0</v>
      </c>
    </row>
    <row r="14" spans="1:18" ht="18" customHeight="1">
      <c r="A14" s="12" t="s">
        <v>53</v>
      </c>
      <c r="B14" s="12">
        <v>1030225001</v>
      </c>
      <c r="C14" s="100">
        <f>муниц!C13+'Лен '!C13+Высокор!C14+Гост!C14+Новотр!C14+Черн!C14</f>
        <v>6667.56</v>
      </c>
      <c r="D14" s="100">
        <f>муниц!D13+'Лен '!D13+Высокор!D14+Гост!D14+Новотр!D14+Черн!D14</f>
        <v>0</v>
      </c>
      <c r="E14" s="104">
        <f>C14+D14</f>
        <v>6667.56</v>
      </c>
      <c r="F14" s="100">
        <f>муниц!F13+'Лен '!F13+Высокор!F14+Гост!F14+Новотр!F14+Черн!F14</f>
        <v>0</v>
      </c>
      <c r="G14" s="100">
        <f>муниц!G13+'Лен '!G13+Высокор!G14+Гост!G14+Новотр!G14+Черн!G14</f>
        <v>2522.7</v>
      </c>
      <c r="H14" s="102">
        <f>G14+M14</f>
        <v>3036.6</v>
      </c>
      <c r="I14" s="103">
        <f t="shared" si="2"/>
        <v>0.4554289725176826</v>
      </c>
      <c r="J14" s="103">
        <f t="shared" si="3"/>
        <v>0</v>
      </c>
      <c r="K14" s="100">
        <f>муниц!K13+'Лен '!K13+Высокор!K14+Гост!K14+Новотр!K14+Черн!K14</f>
        <v>2997.4999999999995</v>
      </c>
      <c r="L14" s="103">
        <f t="shared" si="4"/>
        <v>1.0130442035029192</v>
      </c>
      <c r="M14" s="100">
        <f>муниц!M13+'Лен '!M13+Высокор!M14+Гост!M14+Новотр!M14+Черн!M14</f>
        <v>513.9</v>
      </c>
      <c r="N14" s="100">
        <f>муниц!N13+'Лен '!N13+Высокор!N14+Гост!N14+Новотр!N14+Черн!N14</f>
        <v>508.1000000000001</v>
      </c>
      <c r="O14" s="103">
        <f t="shared" si="5"/>
        <v>1.0114150757724856</v>
      </c>
      <c r="P14" s="100">
        <f>муниц!P13+'Лен '!P13+Высокор!P14+Гост!P14+Новотр!P14+Черн!P14</f>
        <v>0</v>
      </c>
      <c r="Q14" s="100">
        <f>муниц!Q13+'Лен '!Q13+Высокор!Q14+Гост!Q14+Новотр!Q14+Черн!Q14</f>
        <v>0</v>
      </c>
      <c r="R14" s="100">
        <f>муниц!R13+'Лен '!R13+Высокор!R14+Гост!R14+Новотр!R14+Черн!R14</f>
        <v>0</v>
      </c>
    </row>
    <row r="15" spans="1:18" ht="18">
      <c r="A15" s="12" t="s">
        <v>54</v>
      </c>
      <c r="B15" s="12">
        <v>1030226001</v>
      </c>
      <c r="C15" s="100">
        <f>муниц!C14+'Лен '!C14+Высокор!C15+Гост!C15+Новотр!C15+Черн!C15</f>
        <v>-617.0899999999999</v>
      </c>
      <c r="D15" s="100">
        <f>муниц!D14+'Лен '!D14+Высокор!D15+Гост!D15+Новотр!D15+Черн!D15</f>
        <v>0</v>
      </c>
      <c r="E15" s="104">
        <f>C15+D15</f>
        <v>-617.0899999999999</v>
      </c>
      <c r="F15" s="100">
        <f>муниц!F14+'Лен '!F14+Высокор!F15+Гост!F15+Новотр!F15+Черн!F15</f>
        <v>0</v>
      </c>
      <c r="G15" s="100">
        <f>муниц!G14+'Лен '!G14+Высокор!G15+Гост!G15+Новотр!G15+Черн!G15</f>
        <v>-344.49999999999994</v>
      </c>
      <c r="H15" s="102">
        <f>G15+M15</f>
        <v>-418.59999999999997</v>
      </c>
      <c r="I15" s="103">
        <f>H15/E15</f>
        <v>0.6783451360417444</v>
      </c>
      <c r="J15" s="103">
        <f t="shared" si="3"/>
        <v>0</v>
      </c>
      <c r="K15" s="100">
        <f>муниц!K14+'Лен '!K14+Высокор!K15+Гост!K15+Новотр!K15+Черн!K15</f>
        <v>-352.5999999999999</v>
      </c>
      <c r="L15" s="103">
        <f t="shared" si="4"/>
        <v>0</v>
      </c>
      <c r="M15" s="100">
        <f>муниц!M14+'Лен '!M14+Высокор!M15+Гост!M15+Новотр!M15+Черн!M15</f>
        <v>-74.10000000000001</v>
      </c>
      <c r="N15" s="100">
        <f>муниц!N14+'Лен '!N14+Высокор!N15+Гост!N15+Новотр!N15+Черн!N15</f>
        <v>-77.4</v>
      </c>
      <c r="O15" s="103">
        <f t="shared" si="5"/>
        <v>0</v>
      </c>
      <c r="P15" s="100">
        <f>муниц!P14+'Лен '!P14+Высокор!P15+Гост!P15+Новотр!P15+Черн!P15</f>
        <v>0</v>
      </c>
      <c r="Q15" s="100">
        <f>муниц!Q14+'Лен '!Q14+Высокор!Q15+Гост!Q15+Новотр!Q15+Черн!Q15</f>
        <v>0</v>
      </c>
      <c r="R15" s="100">
        <f>муниц!R14+'Лен '!R14+Высокор!R15+Гост!R15+Новотр!R15+Черн!R15</f>
        <v>0</v>
      </c>
    </row>
    <row r="16" spans="1:18" ht="18">
      <c r="A16" s="9" t="s">
        <v>84</v>
      </c>
      <c r="B16" s="18">
        <v>1050000000</v>
      </c>
      <c r="C16" s="98">
        <f aca="true" t="shared" si="7" ref="C16:H16">C17+C18+C19+C20+C21</f>
        <v>29537.5</v>
      </c>
      <c r="D16" s="98">
        <f t="shared" si="7"/>
        <v>359.8</v>
      </c>
      <c r="E16" s="98">
        <f t="shared" si="7"/>
        <v>29897.300000000003</v>
      </c>
      <c r="F16" s="98">
        <f t="shared" si="7"/>
        <v>11352.9</v>
      </c>
      <c r="G16" s="98">
        <f t="shared" si="7"/>
        <v>15182.1</v>
      </c>
      <c r="H16" s="98">
        <f t="shared" si="7"/>
        <v>16914.7</v>
      </c>
      <c r="I16" s="99">
        <f t="shared" si="2"/>
        <v>0.565760118806715</v>
      </c>
      <c r="J16" s="99">
        <f t="shared" si="3"/>
        <v>1.4899012587092286</v>
      </c>
      <c r="K16" s="98">
        <f>K17+K18+K19+K20+K21</f>
        <v>16609.4</v>
      </c>
      <c r="L16" s="99">
        <f t="shared" si="4"/>
        <v>1.0183811576577118</v>
      </c>
      <c r="M16" s="98">
        <f>M17+M18+M19+M20+M21</f>
        <v>1732.6000000000001</v>
      </c>
      <c r="N16" s="98">
        <f>N17+N18+N19+N20+N21</f>
        <v>2628.9999999999995</v>
      </c>
      <c r="O16" s="99">
        <f t="shared" si="5"/>
        <v>0.6590338531761127</v>
      </c>
      <c r="P16" s="98">
        <f>P17+P18+P19+P20+P21</f>
        <v>105.2</v>
      </c>
      <c r="Q16" s="98">
        <f>Q17+Q18+Q19+Q20+Q21</f>
        <v>595.3000000000001</v>
      </c>
      <c r="R16" s="98">
        <f>R17+R18+R19+R20+R21</f>
        <v>763.6</v>
      </c>
    </row>
    <row r="17" spans="1:18" ht="18">
      <c r="A17" s="10" t="s">
        <v>55</v>
      </c>
      <c r="B17" s="28">
        <v>1050101001</v>
      </c>
      <c r="C17" s="100">
        <f>муниц!C16</f>
        <v>17380</v>
      </c>
      <c r="D17" s="100">
        <f>муниц!D16</f>
        <v>0</v>
      </c>
      <c r="E17" s="104">
        <f>C17+D17</f>
        <v>17380</v>
      </c>
      <c r="F17" s="100">
        <f>муниц!F16</f>
        <v>7051</v>
      </c>
      <c r="G17" s="100">
        <f>муниц!G16</f>
        <v>9290.1</v>
      </c>
      <c r="H17" s="102">
        <f>G17+M17</f>
        <v>10219.800000000001</v>
      </c>
      <c r="I17" s="103">
        <f t="shared" si="2"/>
        <v>0.5880207134637515</v>
      </c>
      <c r="J17" s="103">
        <f t="shared" si="3"/>
        <v>1.4494114310026949</v>
      </c>
      <c r="K17" s="100">
        <f>муниц!K16</f>
        <v>10124.8</v>
      </c>
      <c r="L17" s="103">
        <f t="shared" si="4"/>
        <v>1.009382901390645</v>
      </c>
      <c r="M17" s="100">
        <f>муниц!M16</f>
        <v>929.7</v>
      </c>
      <c r="N17" s="100">
        <f>муниц!N16</f>
        <v>2486.2</v>
      </c>
      <c r="O17" s="103">
        <f t="shared" si="5"/>
        <v>0.3739441718284933</v>
      </c>
      <c r="P17" s="100">
        <f>муниц!P16</f>
        <v>73.6</v>
      </c>
      <c r="Q17" s="100">
        <f>муниц!Q16</f>
        <v>518.4</v>
      </c>
      <c r="R17" s="100">
        <f>муниц!R16</f>
        <v>710.3</v>
      </c>
    </row>
    <row r="18" spans="1:18" ht="18">
      <c r="A18" s="10" t="s">
        <v>56</v>
      </c>
      <c r="B18" s="28">
        <v>1050102001</v>
      </c>
      <c r="C18" s="100">
        <f>муниц!C17</f>
        <v>6040.7</v>
      </c>
      <c r="D18" s="100">
        <f>муниц!D17</f>
        <v>0</v>
      </c>
      <c r="E18" s="104">
        <f>C18+D18</f>
        <v>6040.7</v>
      </c>
      <c r="F18" s="100">
        <f>муниц!F17</f>
        <v>1509</v>
      </c>
      <c r="G18" s="100">
        <f>муниц!G17</f>
        <v>2715.7</v>
      </c>
      <c r="H18" s="102">
        <f>G18+M18</f>
        <v>3396.7999999999997</v>
      </c>
      <c r="I18" s="103">
        <f t="shared" si="2"/>
        <v>0.5623189365470889</v>
      </c>
      <c r="J18" s="103">
        <f t="shared" si="3"/>
        <v>2.251027170311464</v>
      </c>
      <c r="K18" s="100">
        <f>муниц!K17</f>
        <v>3601.5</v>
      </c>
      <c r="L18" s="103">
        <f t="shared" si="4"/>
        <v>0.9431625711509093</v>
      </c>
      <c r="M18" s="100">
        <f>муниц!M17</f>
        <v>681.1</v>
      </c>
      <c r="N18" s="100">
        <f>муниц!N17</f>
        <v>45.2</v>
      </c>
      <c r="O18" s="103">
        <f t="shared" si="5"/>
        <v>15.06858407079646</v>
      </c>
      <c r="P18" s="100">
        <f>муниц!P17</f>
        <v>1.4</v>
      </c>
      <c r="Q18" s="100">
        <f>муниц!Q17</f>
        <v>48.2</v>
      </c>
      <c r="R18" s="100">
        <f>муниц!R17</f>
        <v>1.7</v>
      </c>
    </row>
    <row r="19" spans="1:18" ht="18">
      <c r="A19" s="13" t="s">
        <v>0</v>
      </c>
      <c r="B19" s="28">
        <v>1050200001</v>
      </c>
      <c r="C19" s="100">
        <f>муниц!C18</f>
        <v>5221.8</v>
      </c>
      <c r="D19" s="100">
        <f>муниц!D18</f>
        <v>259.8</v>
      </c>
      <c r="E19" s="104">
        <f>C19+D19</f>
        <v>5481.6</v>
      </c>
      <c r="F19" s="100">
        <f>муниц!F18</f>
        <v>2641</v>
      </c>
      <c r="G19" s="100">
        <f>муниц!G18</f>
        <v>2811.5</v>
      </c>
      <c r="H19" s="102">
        <f>G19+M19</f>
        <v>2926.1</v>
      </c>
      <c r="I19" s="103">
        <f t="shared" si="2"/>
        <v>0.5338039988324577</v>
      </c>
      <c r="J19" s="103">
        <f t="shared" si="3"/>
        <v>1.107951533510034</v>
      </c>
      <c r="K19" s="100">
        <f>муниц!K18</f>
        <v>2427</v>
      </c>
      <c r="L19" s="103">
        <f t="shared" si="4"/>
        <v>1.2056448290070045</v>
      </c>
      <c r="M19" s="100">
        <f>муниц!M18</f>
        <v>114.6</v>
      </c>
      <c r="N19" s="100">
        <f>муниц!N18</f>
        <v>63.1</v>
      </c>
      <c r="O19" s="103">
        <f t="shared" si="5"/>
        <v>1.8161648177496037</v>
      </c>
      <c r="P19" s="100">
        <f>муниц!P18</f>
        <v>30.2</v>
      </c>
      <c r="Q19" s="100">
        <f>муниц!Q18</f>
        <v>28.7</v>
      </c>
      <c r="R19" s="100">
        <f>муниц!R18</f>
        <v>51.6</v>
      </c>
    </row>
    <row r="20" spans="1:18" ht="18">
      <c r="A20" s="13" t="s">
        <v>7</v>
      </c>
      <c r="B20" s="28">
        <v>1050300001</v>
      </c>
      <c r="C20" s="100">
        <f>муниц!C19+'Лен '!C16+Высокор!C17+Гост!C17+Новотр!C17+Черн!C17</f>
        <v>745</v>
      </c>
      <c r="D20" s="100">
        <f>муниц!D19+'Лен '!D16+Высокор!D17+Гост!D17+Новотр!D17+Черн!D17</f>
        <v>50</v>
      </c>
      <c r="E20" s="104">
        <f>C20+D20</f>
        <v>795</v>
      </c>
      <c r="F20" s="100">
        <f>муниц!F19+'Лен '!F16+Высокор!F17+Гост!F17+Новотр!F17+Черн!F17</f>
        <v>63</v>
      </c>
      <c r="G20" s="100">
        <f>муниц!G19+'Лен '!G16+Высокор!G17+Гост!G17+Новотр!G17+Черн!G17</f>
        <v>102.2</v>
      </c>
      <c r="H20" s="102">
        <f>G20+M20</f>
        <v>102.2</v>
      </c>
      <c r="I20" s="103">
        <f t="shared" si="2"/>
        <v>0.12855345911949687</v>
      </c>
      <c r="J20" s="103">
        <f t="shared" si="3"/>
        <v>1.6222222222222222</v>
      </c>
      <c r="K20" s="100">
        <f>муниц!K19+'Лен '!K16+Высокор!K17+Гост!K17+Новотр!K17+Черн!K17</f>
        <v>344.2</v>
      </c>
      <c r="L20" s="103">
        <f t="shared" si="4"/>
        <v>0.29692039511911683</v>
      </c>
      <c r="M20" s="100">
        <f>муниц!M19+'Лен '!M16+Высокор!M17+Гост!M17+Новотр!M17+Черн!M17</f>
        <v>0</v>
      </c>
      <c r="N20" s="100">
        <f>муниц!N19+'Лен '!N16+Высокор!N17+Гост!N17+Новотр!N17+Черн!N17</f>
        <v>30.2</v>
      </c>
      <c r="O20" s="103">
        <f t="shared" si="5"/>
        <v>0</v>
      </c>
      <c r="P20" s="100">
        <f>муниц!P19+'Лен '!P16+Высокор!P17+Гост!P17+Новотр!P17+Черн!P17</f>
        <v>0</v>
      </c>
      <c r="Q20" s="100">
        <f>муниц!Q19+'Лен '!Q16+Высокор!Q17+Гост!Q17+Новотр!Q17+Черн!Q17</f>
        <v>0</v>
      </c>
      <c r="R20" s="100">
        <f>муниц!R19+'Лен '!R16+Высокор!R17+Гост!R17+Новотр!R17+Черн!R17</f>
        <v>0</v>
      </c>
    </row>
    <row r="21" spans="1:18" ht="18">
      <c r="A21" s="10" t="s">
        <v>98</v>
      </c>
      <c r="B21" s="28">
        <v>1050402002</v>
      </c>
      <c r="C21" s="100">
        <f>муниц!C20</f>
        <v>150</v>
      </c>
      <c r="D21" s="100">
        <f>муниц!D20</f>
        <v>50</v>
      </c>
      <c r="E21" s="104">
        <f>C21+D21</f>
        <v>200</v>
      </c>
      <c r="F21" s="100">
        <f>муниц!F20</f>
        <v>88.9</v>
      </c>
      <c r="G21" s="100">
        <f>муниц!G20</f>
        <v>262.6</v>
      </c>
      <c r="H21" s="102">
        <f>G21+M21</f>
        <v>269.8</v>
      </c>
      <c r="I21" s="103">
        <f t="shared" si="2"/>
        <v>1.349</v>
      </c>
      <c r="J21" s="103">
        <f t="shared" si="3"/>
        <v>3.034870641169854</v>
      </c>
      <c r="K21" s="100">
        <f>муниц!K20</f>
        <v>111.9</v>
      </c>
      <c r="L21" s="103">
        <f t="shared" si="4"/>
        <v>2.4110813226094727</v>
      </c>
      <c r="M21" s="100">
        <f>муниц!M20</f>
        <v>7.2</v>
      </c>
      <c r="N21" s="100">
        <f>муниц!N20</f>
        <v>4.3</v>
      </c>
      <c r="O21" s="103">
        <f t="shared" si="5"/>
        <v>1.6744186046511629</v>
      </c>
      <c r="P21" s="100">
        <f>муниц!P20</f>
        <v>0</v>
      </c>
      <c r="Q21" s="100">
        <f>муниц!Q20</f>
        <v>0</v>
      </c>
      <c r="R21" s="100">
        <f>муниц!R20</f>
        <v>0</v>
      </c>
    </row>
    <row r="22" spans="1:18" ht="18">
      <c r="A22" s="9" t="s">
        <v>82</v>
      </c>
      <c r="B22" s="18">
        <v>1060000000</v>
      </c>
      <c r="C22" s="106">
        <f aca="true" t="shared" si="8" ref="C22:H22">C23+C24+C25</f>
        <v>6168.2</v>
      </c>
      <c r="D22" s="106">
        <f t="shared" si="8"/>
        <v>60</v>
      </c>
      <c r="E22" s="106">
        <f t="shared" si="8"/>
        <v>6228.2</v>
      </c>
      <c r="F22" s="106">
        <f t="shared" si="8"/>
        <v>1983</v>
      </c>
      <c r="G22" s="106">
        <f t="shared" si="8"/>
        <v>2663.2000000000003</v>
      </c>
      <c r="H22" s="106">
        <f t="shared" si="8"/>
        <v>2652.7000000000003</v>
      </c>
      <c r="I22" s="99">
        <f t="shared" si="2"/>
        <v>0.425917600590861</v>
      </c>
      <c r="J22" s="99">
        <f t="shared" si="3"/>
        <v>1.3377206253151792</v>
      </c>
      <c r="K22" s="106">
        <f>K23+K24+K25</f>
        <v>2365.2999999999997</v>
      </c>
      <c r="L22" s="99">
        <f t="shared" si="4"/>
        <v>1.1215067856085912</v>
      </c>
      <c r="M22" s="106">
        <f>M23+M24+M25</f>
        <v>-10.499999999999998</v>
      </c>
      <c r="N22" s="106">
        <f>N23+N24+N25</f>
        <v>51.1</v>
      </c>
      <c r="O22" s="99">
        <f t="shared" si="5"/>
        <v>-0.20547945205479448</v>
      </c>
      <c r="P22" s="98">
        <f>P23+P24+P25</f>
        <v>2644.4</v>
      </c>
      <c r="Q22" s="106">
        <f>Q23+Q24+Q25</f>
        <v>1239.3000000000002</v>
      </c>
      <c r="R22" s="106">
        <f>R23+R24+R25</f>
        <v>1235.9</v>
      </c>
    </row>
    <row r="23" spans="1:18" ht="18">
      <c r="A23" s="13" t="s">
        <v>16</v>
      </c>
      <c r="B23" s="13">
        <v>1060103003</v>
      </c>
      <c r="C23" s="100">
        <f>'Лен '!C21+Высокор!C22+Гост!C22+Новотр!C22+Черн!C22</f>
        <v>809</v>
      </c>
      <c r="D23" s="100">
        <f>'Лен '!D21+Высокор!D22+Гост!D22+Новотр!D22+Черн!D22</f>
        <v>30</v>
      </c>
      <c r="E23" s="104">
        <f>C23+D23</f>
        <v>839</v>
      </c>
      <c r="F23" s="100">
        <f>'Лен '!F21+Высокор!F22+Гост!F22+Новотр!F22+Черн!F22</f>
        <v>0</v>
      </c>
      <c r="G23" s="102">
        <f>'Лен '!G21+Высокор!G22+Гост!G22+Новотр!G22+Черн!G22</f>
        <v>44.3</v>
      </c>
      <c r="H23" s="102">
        <f>G23+M23</f>
        <v>21.099999999999998</v>
      </c>
      <c r="I23" s="103">
        <f>IF(E23&gt;0,H23/E23,0)</f>
        <v>0.025148986889153752</v>
      </c>
      <c r="J23" s="103">
        <f>IF(F23&gt;0,H23/F23,0)</f>
        <v>0</v>
      </c>
      <c r="K23" s="102">
        <f>'Лен '!K21+Высокор!K22+Гост!K22+Новотр!K22+Черн!K22</f>
        <v>69.6</v>
      </c>
      <c r="L23" s="103">
        <f>IF(K23&gt;0,H23/K23,0)</f>
        <v>0.3031609195402299</v>
      </c>
      <c r="M23" s="102">
        <f>'Лен '!M21+Высокор!M22+Гост!M22+Новотр!M22+Черн!M22</f>
        <v>-23.2</v>
      </c>
      <c r="N23" s="102">
        <f>'Лен '!N21+Высокор!N22+Гост!N22+Новотр!N22+Черн!N22</f>
        <v>20.900000000000002</v>
      </c>
      <c r="O23" s="103">
        <f>IF(N23&gt;0,M23/N23,0)</f>
        <v>-1.110047846889952</v>
      </c>
      <c r="P23" s="102">
        <f>'Лен '!P21+Высокор!P22+Гост!P22+Новотр!P22+Черн!P22</f>
        <v>559.3</v>
      </c>
      <c r="Q23" s="102">
        <f>'Лен '!Q21+Высокор!Q22+Гост!Q22+Новотр!Q22+Черн!Q22</f>
        <v>270.90000000000003</v>
      </c>
      <c r="R23" s="102">
        <f>'Лен '!R21+Высокор!R22+Гост!R22+Новотр!R22+Черн!R22</f>
        <v>278.5</v>
      </c>
    </row>
    <row r="24" spans="1:18" ht="18">
      <c r="A24" s="13" t="s">
        <v>19</v>
      </c>
      <c r="B24" s="13">
        <v>1060201002</v>
      </c>
      <c r="C24" s="100">
        <f>муниц!C21</f>
        <v>4121.2</v>
      </c>
      <c r="D24" s="100">
        <f>муниц!D21</f>
        <v>0</v>
      </c>
      <c r="E24" s="104">
        <f>C24+D24</f>
        <v>4121.2</v>
      </c>
      <c r="F24" s="100">
        <f>муниц!F21</f>
        <v>1983</v>
      </c>
      <c r="G24" s="100">
        <f>муниц!G21</f>
        <v>2291.9</v>
      </c>
      <c r="H24" s="102">
        <f>G24+M24</f>
        <v>2299.7000000000003</v>
      </c>
      <c r="I24" s="103">
        <f t="shared" si="2"/>
        <v>0.5580170824031836</v>
      </c>
      <c r="J24" s="103">
        <f t="shared" si="3"/>
        <v>1.1597075138678772</v>
      </c>
      <c r="K24" s="100">
        <f>муниц!K21</f>
        <v>1998.1</v>
      </c>
      <c r="L24" s="103">
        <f t="shared" si="4"/>
        <v>1.1509433962264153</v>
      </c>
      <c r="M24" s="100">
        <f>муниц!M21</f>
        <v>7.8</v>
      </c>
      <c r="N24" s="100">
        <f>муниц!N21</f>
        <v>5.3</v>
      </c>
      <c r="O24" s="103">
        <f t="shared" si="5"/>
        <v>1.4716981132075473</v>
      </c>
      <c r="P24" s="100">
        <f>муниц!P21</f>
        <v>173.2</v>
      </c>
      <c r="Q24" s="100">
        <f>муниц!Q21</f>
        <v>177.9</v>
      </c>
      <c r="R24" s="100">
        <f>муниц!R21</f>
        <v>170.3</v>
      </c>
    </row>
    <row r="25" spans="1:18" ht="18">
      <c r="A25" s="13" t="s">
        <v>15</v>
      </c>
      <c r="B25" s="13">
        <v>1060600000</v>
      </c>
      <c r="C25" s="100">
        <f>'Лен '!C18+Высокор!C19+Гост!C19+Новотр!C19+Черн!C19</f>
        <v>1238</v>
      </c>
      <c r="D25" s="100">
        <f>'Лен '!D18+Высокор!D19+Гост!D19+Новотр!D19+Черн!D19</f>
        <v>30</v>
      </c>
      <c r="E25" s="101">
        <f>C25+D25</f>
        <v>1268</v>
      </c>
      <c r="F25" s="100">
        <f>'Лен '!F18+Высокор!F19+Гост!F19+Новотр!F19+Черн!F19</f>
        <v>0</v>
      </c>
      <c r="G25" s="102">
        <f>'Лен '!G18+Высокор!G19+Гост!G19+Новотр!G19+Черн!G19</f>
        <v>327</v>
      </c>
      <c r="H25" s="102">
        <f>G25+M25</f>
        <v>331.9</v>
      </c>
      <c r="I25" s="103">
        <f t="shared" si="2"/>
        <v>0.2617507886435331</v>
      </c>
      <c r="J25" s="103">
        <f t="shared" si="3"/>
        <v>0</v>
      </c>
      <c r="K25" s="102">
        <f>'Лен '!K18+Высокор!K19+Гост!K19+Новотр!K19+Черн!K19</f>
        <v>297.6000000000001</v>
      </c>
      <c r="L25" s="103">
        <f t="shared" si="4"/>
        <v>1.1152553763440856</v>
      </c>
      <c r="M25" s="102">
        <f>'Лен '!M18+Высокор!M19+Гост!M19+Новотр!M19+Черн!M19</f>
        <v>4.9</v>
      </c>
      <c r="N25" s="102">
        <f>'Лен '!N18+Высокор!N19+Гост!N19+Новотр!N19+Черн!N19</f>
        <v>24.9</v>
      </c>
      <c r="O25" s="103">
        <f t="shared" si="5"/>
        <v>0.19678714859437754</v>
      </c>
      <c r="P25" s="102">
        <f>'Лен '!P18+Высокор!P19+Гост!P19+Новотр!P19+Черн!P19</f>
        <v>1911.9</v>
      </c>
      <c r="Q25" s="102">
        <f>'Лен '!Q18+Высокор!Q19+Гост!Q19+Новотр!Q19+Черн!Q19</f>
        <v>790.5</v>
      </c>
      <c r="R25" s="102">
        <f>'Лен '!R18+Высокор!R19+Гост!R19+Новотр!R19+Черн!R19</f>
        <v>787.1000000000001</v>
      </c>
    </row>
    <row r="26" spans="1:18" ht="18">
      <c r="A26" s="9" t="s">
        <v>85</v>
      </c>
      <c r="B26" s="18">
        <v>1080000000</v>
      </c>
      <c r="C26" s="105">
        <f>муниц!C22+Высокор!C23+Гост!C23+Новотр!C23+Черн!C23</f>
        <v>421</v>
      </c>
      <c r="D26" s="105">
        <f>муниц!D22+Высокор!D23+Гост!D23+Новотр!D23+Черн!D23</f>
        <v>0</v>
      </c>
      <c r="E26" s="107">
        <f>C26+D26</f>
        <v>421</v>
      </c>
      <c r="F26" s="105">
        <f>муниц!F22+Высокор!F23+Гост!F23+Новотр!F23+Черн!F23</f>
        <v>289</v>
      </c>
      <c r="G26" s="105">
        <f>муниц!G22+Высокор!G23+Гост!G23+Новотр!G23+Черн!G23</f>
        <v>224.9</v>
      </c>
      <c r="H26" s="98">
        <f>G26+M26</f>
        <v>268.40000000000003</v>
      </c>
      <c r="I26" s="99">
        <f t="shared" si="2"/>
        <v>0.6375296912114015</v>
      </c>
      <c r="J26" s="99">
        <f t="shared" si="3"/>
        <v>0.9287197231833911</v>
      </c>
      <c r="K26" s="105">
        <f>муниц!K22+Высокор!K23+Гост!K23+Новотр!K23+Черн!K23</f>
        <v>232.4</v>
      </c>
      <c r="L26" s="99">
        <f t="shared" si="4"/>
        <v>1.1549053356282273</v>
      </c>
      <c r="M26" s="105">
        <f>муниц!M22+Высокор!M23+Гост!M23+Новотр!M23+Черн!M23</f>
        <v>43.50000000000001</v>
      </c>
      <c r="N26" s="105">
        <f>муниц!N22+Высокор!N23+Гост!N23+Новотр!N23+Черн!N23</f>
        <v>62.20000000000001</v>
      </c>
      <c r="O26" s="99">
        <f t="shared" si="5"/>
        <v>0.6993569131832797</v>
      </c>
      <c r="P26" s="108"/>
      <c r="Q26" s="108"/>
      <c r="R26" s="108"/>
    </row>
    <row r="27" spans="1:18" ht="18">
      <c r="A27" s="9" t="s">
        <v>86</v>
      </c>
      <c r="B27" s="18">
        <v>1090000000</v>
      </c>
      <c r="C27" s="105">
        <f>муниц!C23+'Лен '!C22+Высокор!C24+Гост!C24+Новотр!C24+Черн!C24</f>
        <v>0</v>
      </c>
      <c r="D27" s="105">
        <f>муниц!D23+'Лен '!D22+Высокор!D24+Гост!D24+Новотр!D24+Черн!D24</f>
        <v>0</v>
      </c>
      <c r="E27" s="107">
        <f>C27+D27</f>
        <v>0</v>
      </c>
      <c r="F27" s="105">
        <f>муниц!F23+'Лен '!F22+Высокор!F24+Гост!F24+Новотр!F24+Черн!F24</f>
        <v>0</v>
      </c>
      <c r="G27" s="105">
        <f>муниц!G23+'Лен '!G22+Высокор!G24+Гост!G24+Новотр!G24+Черн!G24</f>
        <v>0</v>
      </c>
      <c r="H27" s="98">
        <f>G27+M27</f>
        <v>0</v>
      </c>
      <c r="I27" s="99">
        <f t="shared" si="2"/>
        <v>0</v>
      </c>
      <c r="J27" s="99">
        <f t="shared" si="3"/>
        <v>0</v>
      </c>
      <c r="K27" s="105">
        <f>муниц!K23+'Лен '!K22+Высокор!K24+Гост!K24+Новотр!K24+Черн!K24</f>
        <v>0</v>
      </c>
      <c r="L27" s="99">
        <f t="shared" si="4"/>
        <v>0</v>
      </c>
      <c r="M27" s="105">
        <f>муниц!M23+'Лен '!M22+Высокор!M24+Гост!M24+Новотр!M24+Черн!M24</f>
        <v>0</v>
      </c>
      <c r="N27" s="105">
        <f>муниц!N23+'Лен '!N22+Высокор!N24+Гост!N24+Новотр!N24+Черн!N24</f>
        <v>0</v>
      </c>
      <c r="O27" s="99">
        <f t="shared" si="5"/>
        <v>0</v>
      </c>
      <c r="P27" s="105">
        <f>муниц!P23+'Лен '!P22+Высокор!P24+Гост!P24+Новотр!P24+Черн!P24</f>
        <v>0</v>
      </c>
      <c r="Q27" s="105">
        <f>муниц!Q23+'Лен '!Q22+Высокор!Q24+Гост!Q24+Новотр!Q24+Черн!Q24</f>
        <v>0</v>
      </c>
      <c r="R27" s="105">
        <f>муниц!R23+'Лен '!R22+Высокор!R24+Гост!R24+Новотр!R24+Черн!R24</f>
        <v>0</v>
      </c>
    </row>
    <row r="28" spans="1:18" ht="18">
      <c r="A28" s="14" t="s">
        <v>22</v>
      </c>
      <c r="B28" s="20"/>
      <c r="C28" s="109">
        <f aca="true" t="shared" si="9" ref="C28:H28">C29+C35+C36+C40+C43+C44</f>
        <v>14695.710000000001</v>
      </c>
      <c r="D28" s="110">
        <f t="shared" si="9"/>
        <v>4606.468</v>
      </c>
      <c r="E28" s="110">
        <f t="shared" si="9"/>
        <v>19302.178</v>
      </c>
      <c r="F28" s="110">
        <f t="shared" si="9"/>
        <v>7948.7</v>
      </c>
      <c r="G28" s="110">
        <f t="shared" si="9"/>
        <v>11286.900000000001</v>
      </c>
      <c r="H28" s="110">
        <f t="shared" si="9"/>
        <v>12287</v>
      </c>
      <c r="I28" s="97">
        <f t="shared" si="2"/>
        <v>0.6365602886886651</v>
      </c>
      <c r="J28" s="97">
        <f t="shared" si="3"/>
        <v>1.5457873614553324</v>
      </c>
      <c r="K28" s="110">
        <f>K29+K35+K36+K40+K43+K44</f>
        <v>9713.5</v>
      </c>
      <c r="L28" s="97">
        <f t="shared" si="4"/>
        <v>1.2649405466618624</v>
      </c>
      <c r="M28" s="110">
        <f>M29+M35+M36+M40+M43+M44</f>
        <v>1000.1</v>
      </c>
      <c r="N28" s="110">
        <f>N29+N35+N36+N40+N43+N44</f>
        <v>1288.9</v>
      </c>
      <c r="O28" s="97">
        <f t="shared" si="5"/>
        <v>0.7759329660951199</v>
      </c>
      <c r="P28" s="110">
        <f>P29+P35+P36+P40+P43+P44</f>
        <v>895.9</v>
      </c>
      <c r="Q28" s="110">
        <f>Q29+Q35+Q36+Q40+Q43+Q44</f>
        <v>1001.1</v>
      </c>
      <c r="R28" s="110">
        <f>R29+R35+R36+R40+R43+R44</f>
        <v>673.7</v>
      </c>
    </row>
    <row r="29" spans="1:18" ht="18">
      <c r="A29" s="9" t="s">
        <v>87</v>
      </c>
      <c r="B29" s="18">
        <v>1110000000</v>
      </c>
      <c r="C29" s="105">
        <f aca="true" t="shared" si="10" ref="C29:H29">SUM(C30:C34)</f>
        <v>3729.7999999999997</v>
      </c>
      <c r="D29" s="105">
        <f t="shared" si="10"/>
        <v>3.178</v>
      </c>
      <c r="E29" s="105">
        <f t="shared" si="10"/>
        <v>3732.9779999999996</v>
      </c>
      <c r="F29" s="105">
        <f t="shared" si="10"/>
        <v>2087.3</v>
      </c>
      <c r="G29" s="105">
        <f t="shared" si="10"/>
        <v>1221.1999999999998</v>
      </c>
      <c r="H29" s="105">
        <f t="shared" si="10"/>
        <v>1602.1999999999998</v>
      </c>
      <c r="I29" s="99">
        <f t="shared" si="2"/>
        <v>0.42920156507753326</v>
      </c>
      <c r="J29" s="99">
        <f t="shared" si="3"/>
        <v>0.767594500071863</v>
      </c>
      <c r="K29" s="105">
        <f>SUM(K30:K34)</f>
        <v>2509.6</v>
      </c>
      <c r="L29" s="99">
        <f t="shared" si="4"/>
        <v>0.6384284348103283</v>
      </c>
      <c r="M29" s="105">
        <f>SUM(M30:M34)</f>
        <v>381</v>
      </c>
      <c r="N29" s="105">
        <f>SUM(N30:N34)</f>
        <v>394.4</v>
      </c>
      <c r="O29" s="99">
        <f t="shared" si="5"/>
        <v>0.9660243407707911</v>
      </c>
      <c r="P29" s="105">
        <f>SUM(P30:P34)</f>
        <v>895.9</v>
      </c>
      <c r="Q29" s="105">
        <f>SUM(Q30:Q34)</f>
        <v>1001.1</v>
      </c>
      <c r="R29" s="105">
        <f>SUM(R30:R34)</f>
        <v>673.7</v>
      </c>
    </row>
    <row r="30" spans="1:18" ht="18">
      <c r="A30" s="13" t="s">
        <v>20</v>
      </c>
      <c r="B30" s="13">
        <v>1110105005</v>
      </c>
      <c r="C30" s="100">
        <f>муниц!C26</f>
        <v>0</v>
      </c>
      <c r="D30" s="100">
        <f>муниц!D26</f>
        <v>0</v>
      </c>
      <c r="E30" s="104">
        <f aca="true" t="shared" si="11" ref="E30:E43">C30+D30</f>
        <v>0</v>
      </c>
      <c r="F30" s="100">
        <f>муниц!F26</f>
        <v>0</v>
      </c>
      <c r="G30" s="100">
        <f>муниц!G26</f>
        <v>0</v>
      </c>
      <c r="H30" s="102">
        <f aca="true" t="shared" si="12" ref="H30:H35">G30+M30</f>
        <v>0</v>
      </c>
      <c r="I30" s="103">
        <f t="shared" si="2"/>
        <v>0</v>
      </c>
      <c r="J30" s="103">
        <f t="shared" si="3"/>
        <v>0</v>
      </c>
      <c r="K30" s="100">
        <f>муниц!K26</f>
        <v>0</v>
      </c>
      <c r="L30" s="103">
        <f t="shared" si="4"/>
        <v>0</v>
      </c>
      <c r="M30" s="100">
        <f>муниц!M26</f>
        <v>0</v>
      </c>
      <c r="N30" s="100">
        <f>муниц!N26</f>
        <v>0</v>
      </c>
      <c r="O30" s="103">
        <f t="shared" si="5"/>
        <v>0</v>
      </c>
      <c r="P30" s="100"/>
      <c r="Q30" s="100"/>
      <c r="R30" s="100"/>
    </row>
    <row r="31" spans="1:18" ht="18">
      <c r="A31" s="13" t="s">
        <v>1</v>
      </c>
      <c r="B31" s="13">
        <v>1110501013</v>
      </c>
      <c r="C31" s="100">
        <f>муниц!C27+муниц!C28+'Лен '!C25+Высокор!C27+Гост!C27+Новотр!C27+Черн!C27+'Лен '!C26</f>
        <v>2102.2</v>
      </c>
      <c r="D31" s="100">
        <f>муниц!D27+муниц!D28+'Лен '!D25+Высокор!D27+Гост!D27+Новотр!D27+Черн!D27+'Лен '!D26</f>
        <v>0</v>
      </c>
      <c r="E31" s="104">
        <f t="shared" si="11"/>
        <v>2102.2</v>
      </c>
      <c r="F31" s="100">
        <f>муниц!F27+муниц!F28+'Лен '!F25+Высокор!F27+Гост!F27+Новотр!F27+Черн!F27</f>
        <v>900</v>
      </c>
      <c r="G31" s="100">
        <f>муниц!G27+муниц!G28+'Лен '!G25+'Лен '!G26+Высокор!G27+Гост!G27+Новотр!G27+Черн!G27</f>
        <v>552.0999999999999</v>
      </c>
      <c r="H31" s="102">
        <f t="shared" si="12"/>
        <v>788.4999999999999</v>
      </c>
      <c r="I31" s="103">
        <f t="shared" si="2"/>
        <v>0.3750832461231091</v>
      </c>
      <c r="J31" s="103">
        <f t="shared" si="3"/>
        <v>0.876111111111111</v>
      </c>
      <c r="K31" s="100">
        <f>муниц!K27+муниц!K28+'Лен '!K25+Высокор!K27+Гост!K27+Новотр!K27+Черн!K27+'Лен '!K26</f>
        <v>1286.6</v>
      </c>
      <c r="L31" s="103">
        <f t="shared" si="4"/>
        <v>0.6128555883724545</v>
      </c>
      <c r="M31" s="100">
        <f>муниц!M27+муниц!M28+'Лен '!M25+Высокор!M27+Гост!M27+Новотр!M27+Черн!M27+'Лен '!M26</f>
        <v>236.39999999999998</v>
      </c>
      <c r="N31" s="100">
        <f>муниц!N27+муниц!N28+'Лен '!N25+Высокор!N27+Гост!N27+Новотр!N27+Черн!N27+'Лен '!N26</f>
        <v>175.8</v>
      </c>
      <c r="O31" s="103">
        <f t="shared" si="5"/>
        <v>1.3447098976109213</v>
      </c>
      <c r="P31" s="100">
        <f>муниц!P27+муниц!P28+'Лен '!P25+Высокор!P27+Гост!P27+Новотр!P27+Черн!P27</f>
        <v>893.1999999999999</v>
      </c>
      <c r="Q31" s="100">
        <f>муниц!Q27+муниц!Q28+'Лен '!Q25+Высокор!Q27+Гост!Q27+Новотр!Q27+Черн!Q27</f>
        <v>939.7</v>
      </c>
      <c r="R31" s="100">
        <f>муниц!R27+муниц!R28+'Лен '!R25+Высокор!R27+Гост!R27+Новотр!R27+Черн!R27</f>
        <v>587.6</v>
      </c>
    </row>
    <row r="32" spans="1:18" ht="18">
      <c r="A32" s="13" t="s">
        <v>17</v>
      </c>
      <c r="B32" s="13">
        <v>1110503510</v>
      </c>
      <c r="C32" s="100">
        <f>муниц!C29</f>
        <v>725.6</v>
      </c>
      <c r="D32" s="100">
        <f>муниц!D29</f>
        <v>0</v>
      </c>
      <c r="E32" s="104">
        <f t="shared" si="11"/>
        <v>725.6</v>
      </c>
      <c r="F32" s="100">
        <f>муниц!F29</f>
        <v>1187.3</v>
      </c>
      <c r="G32" s="100">
        <f>муниц!G29</f>
        <v>330.5</v>
      </c>
      <c r="H32" s="102">
        <f t="shared" si="12"/>
        <v>397.2</v>
      </c>
      <c r="I32" s="103">
        <f t="shared" si="2"/>
        <v>0.5474090407938258</v>
      </c>
      <c r="J32" s="103">
        <f t="shared" si="3"/>
        <v>0.33454055419860185</v>
      </c>
      <c r="K32" s="100">
        <f>муниц!K29</f>
        <v>763.6</v>
      </c>
      <c r="L32" s="103">
        <f t="shared" si="4"/>
        <v>0.5201676270298585</v>
      </c>
      <c r="M32" s="100">
        <f>муниц!M29</f>
        <v>66.7</v>
      </c>
      <c r="N32" s="100">
        <f>муниц!N29</f>
        <v>136.2</v>
      </c>
      <c r="O32" s="103">
        <f t="shared" si="5"/>
        <v>0.4897209985315713</v>
      </c>
      <c r="P32" s="100">
        <f>муниц!P29+Новотр!P28</f>
        <v>2.7</v>
      </c>
      <c r="Q32" s="100">
        <f>муниц!Q29</f>
        <v>61.4</v>
      </c>
      <c r="R32" s="100">
        <f>муниц!R29</f>
        <v>86.1</v>
      </c>
    </row>
    <row r="33" spans="1:18" ht="18">
      <c r="A33" s="13" t="s">
        <v>18</v>
      </c>
      <c r="B33" s="13">
        <v>1110903510</v>
      </c>
      <c r="C33" s="100">
        <f>'Лен '!C28+Гост!C28</f>
        <v>0</v>
      </c>
      <c r="D33" s="100">
        <f>'Лен '!D28+Гост!D28</f>
        <v>0</v>
      </c>
      <c r="E33" s="104">
        <f t="shared" si="11"/>
        <v>0</v>
      </c>
      <c r="F33" s="100">
        <f>'Лен '!F28+Гост!F28</f>
        <v>0</v>
      </c>
      <c r="G33" s="100">
        <f>'Лен '!G28+Гост!G28</f>
        <v>0</v>
      </c>
      <c r="H33" s="102">
        <f t="shared" si="12"/>
        <v>0</v>
      </c>
      <c r="I33" s="103">
        <f t="shared" si="2"/>
        <v>0</v>
      </c>
      <c r="J33" s="103">
        <f t="shared" si="3"/>
        <v>0</v>
      </c>
      <c r="K33" s="100">
        <f>'Лен '!K28+Гост!K28</f>
        <v>0</v>
      </c>
      <c r="L33" s="103">
        <f t="shared" si="4"/>
        <v>0</v>
      </c>
      <c r="M33" s="100">
        <f>'Лен '!M28+Гост!M28+Черн!M27</f>
        <v>0</v>
      </c>
      <c r="N33" s="100">
        <f>'Лен '!N28+Гост!N28</f>
        <v>0</v>
      </c>
      <c r="O33" s="103">
        <f t="shared" si="5"/>
        <v>0</v>
      </c>
      <c r="P33" s="111"/>
      <c r="Q33" s="111"/>
      <c r="R33" s="111"/>
    </row>
    <row r="34" spans="1:18" ht="18">
      <c r="A34" s="13" t="s">
        <v>23</v>
      </c>
      <c r="B34" s="13">
        <v>1110904505</v>
      </c>
      <c r="C34" s="100">
        <f>муниц!C30+'Лен '!C27+Высокор!C28+Гост!C29+Новотр!C28+Черн!C28</f>
        <v>902</v>
      </c>
      <c r="D34" s="100">
        <f>муниц!D30+'Лен '!D27+Высокор!D28+Гост!D29+Новотр!D28+Черн!D28</f>
        <v>3.178</v>
      </c>
      <c r="E34" s="104">
        <f t="shared" si="11"/>
        <v>905.178</v>
      </c>
      <c r="F34" s="100">
        <f>муниц!F30+'Лен '!F27+Высокор!F28+Гост!F29+Новотр!F28+Черн!F28</f>
        <v>0</v>
      </c>
      <c r="G34" s="100">
        <f>муниц!G30+'Лен '!G27+Высокор!G28+Гост!G29+Новотр!G28+Черн!G28</f>
        <v>338.59999999999997</v>
      </c>
      <c r="H34" s="102">
        <f t="shared" si="12"/>
        <v>416.5</v>
      </c>
      <c r="I34" s="103">
        <f t="shared" si="2"/>
        <v>0.4601304936708581</v>
      </c>
      <c r="J34" s="103">
        <f t="shared" si="3"/>
        <v>0</v>
      </c>
      <c r="K34" s="100">
        <f>муниц!K30+'Лен '!K27+Высокор!K28+Гост!K29+Новотр!K28+Черн!K28</f>
        <v>459.40000000000003</v>
      </c>
      <c r="L34" s="103">
        <f t="shared" si="4"/>
        <v>0.9066173269481932</v>
      </c>
      <c r="M34" s="100">
        <f>муниц!M30+'Лен '!M27+Высокор!M28+Гост!M29+Новотр!M28+Черн!M28</f>
        <v>77.9</v>
      </c>
      <c r="N34" s="100">
        <f>муниц!N30+'Лен '!N27+Высокор!N28+Гост!N29+Новотр!N28+Черн!N28</f>
        <v>82.39999999999999</v>
      </c>
      <c r="O34" s="103">
        <f t="shared" si="5"/>
        <v>0.9453883495145633</v>
      </c>
      <c r="P34" s="111"/>
      <c r="Q34" s="111"/>
      <c r="R34" s="111">
        <f>'Лен '!R27</f>
        <v>0</v>
      </c>
    </row>
    <row r="35" spans="1:18" ht="18">
      <c r="A35" s="9" t="s">
        <v>83</v>
      </c>
      <c r="B35" s="18">
        <v>1120000000</v>
      </c>
      <c r="C35" s="105">
        <f>муниц!C31</f>
        <v>29.9</v>
      </c>
      <c r="D35" s="105">
        <f>муниц!D31</f>
        <v>0</v>
      </c>
      <c r="E35" s="107">
        <f t="shared" si="11"/>
        <v>29.9</v>
      </c>
      <c r="F35" s="105">
        <f>муниц!F31</f>
        <v>75</v>
      </c>
      <c r="G35" s="105">
        <f>муниц!G31</f>
        <v>24.4</v>
      </c>
      <c r="H35" s="98">
        <f t="shared" si="12"/>
        <v>24.4</v>
      </c>
      <c r="I35" s="99">
        <f t="shared" si="2"/>
        <v>0.8160535117056856</v>
      </c>
      <c r="J35" s="99">
        <f t="shared" si="3"/>
        <v>0.3253333333333333</v>
      </c>
      <c r="K35" s="105">
        <f>муниц!K31</f>
        <v>72.6</v>
      </c>
      <c r="L35" s="99">
        <f t="shared" si="4"/>
        <v>0.33608815426997246</v>
      </c>
      <c r="M35" s="105">
        <f>муниц!M31</f>
        <v>0</v>
      </c>
      <c r="N35" s="105">
        <f>муниц!N31</f>
        <v>1</v>
      </c>
      <c r="O35" s="99">
        <f t="shared" si="5"/>
        <v>0</v>
      </c>
      <c r="P35" s="98"/>
      <c r="Q35" s="108"/>
      <c r="R35" s="108"/>
    </row>
    <row r="36" spans="1:18" ht="18">
      <c r="A36" s="9" t="s">
        <v>68</v>
      </c>
      <c r="B36" s="18">
        <v>1130000000</v>
      </c>
      <c r="C36" s="105">
        <f aca="true" t="shared" si="13" ref="C36:H36">SUM(C37:C39)</f>
        <v>10484.41</v>
      </c>
      <c r="D36" s="105">
        <f t="shared" si="13"/>
        <v>193.19</v>
      </c>
      <c r="E36" s="105">
        <f t="shared" si="13"/>
        <v>10677.599999999999</v>
      </c>
      <c r="F36" s="105">
        <f t="shared" si="13"/>
        <v>5703.4</v>
      </c>
      <c r="G36" s="105">
        <f t="shared" si="13"/>
        <v>5054.9</v>
      </c>
      <c r="H36" s="105">
        <f t="shared" si="13"/>
        <v>5653.599999999999</v>
      </c>
      <c r="I36" s="99">
        <f t="shared" si="2"/>
        <v>0.5294822806623212</v>
      </c>
      <c r="J36" s="99">
        <f t="shared" si="3"/>
        <v>0.9912683662376828</v>
      </c>
      <c r="K36" s="105">
        <f>SUM(K37:K39)</f>
        <v>6827.6</v>
      </c>
      <c r="L36" s="99">
        <f t="shared" si="4"/>
        <v>0.8280508524225202</v>
      </c>
      <c r="M36" s="105">
        <f>SUM(M37:M39)</f>
        <v>598.7</v>
      </c>
      <c r="N36" s="105">
        <f>SUM(N37:N39)</f>
        <v>821.6999999999999</v>
      </c>
      <c r="O36" s="99">
        <f t="shared" si="5"/>
        <v>0.7286114153584035</v>
      </c>
      <c r="P36" s="105">
        <f>SUM(P37:P39)</f>
        <v>0</v>
      </c>
      <c r="Q36" s="105">
        <f>SUM(Q37:Q39)</f>
        <v>0</v>
      </c>
      <c r="R36" s="105">
        <f>SUM(R37:R39)</f>
        <v>0</v>
      </c>
    </row>
    <row r="37" spans="1:18" ht="18">
      <c r="A37" s="15" t="s">
        <v>35</v>
      </c>
      <c r="B37" s="22">
        <v>1130199500</v>
      </c>
      <c r="C37" s="112">
        <f>муниц!C33</f>
        <v>8001.3</v>
      </c>
      <c r="D37" s="112">
        <f>муниц!D33</f>
        <v>0</v>
      </c>
      <c r="E37" s="104">
        <f t="shared" si="11"/>
        <v>8001.3</v>
      </c>
      <c r="F37" s="112">
        <f>муниц!F33</f>
        <v>5203.4</v>
      </c>
      <c r="G37" s="112">
        <f>муниц!G33</f>
        <v>3797.7</v>
      </c>
      <c r="H37" s="102">
        <f>G37+M37</f>
        <v>4158.4</v>
      </c>
      <c r="I37" s="103">
        <f>IF(E37&gt;0,H37/E37,0)</f>
        <v>0.5197155462237386</v>
      </c>
      <c r="J37" s="103">
        <f>IF(F37&gt;0,H37/F37,0)</f>
        <v>0.799169773609563</v>
      </c>
      <c r="K37" s="112">
        <f>муниц!K33</f>
        <v>5491.8</v>
      </c>
      <c r="L37" s="103">
        <f t="shared" si="4"/>
        <v>0.7572016460905349</v>
      </c>
      <c r="M37" s="112">
        <f>муниц!M33</f>
        <v>360.7</v>
      </c>
      <c r="N37" s="112">
        <f>муниц!N33</f>
        <v>556.8</v>
      </c>
      <c r="O37" s="103">
        <f t="shared" si="5"/>
        <v>0.647808908045977</v>
      </c>
      <c r="P37" s="113"/>
      <c r="Q37" s="114"/>
      <c r="R37" s="114"/>
    </row>
    <row r="38" spans="1:18" ht="18">
      <c r="A38" s="15" t="s">
        <v>36</v>
      </c>
      <c r="B38" s="22">
        <v>1130206500</v>
      </c>
      <c r="C38" s="112">
        <f>муниц!C34+'Лен '!C30</f>
        <v>773</v>
      </c>
      <c r="D38" s="112">
        <f>муниц!D34+'Лен '!D30</f>
        <v>0</v>
      </c>
      <c r="E38" s="104">
        <f t="shared" si="11"/>
        <v>773</v>
      </c>
      <c r="F38" s="112">
        <f>муниц!F34</f>
        <v>500</v>
      </c>
      <c r="G38" s="112">
        <f>муниц!G34+'Лен '!G30</f>
        <v>361.4</v>
      </c>
      <c r="H38" s="102">
        <f>G38+M38</f>
        <v>409.2</v>
      </c>
      <c r="I38" s="103">
        <f>IF(E38&gt;0,H38/E38,0)</f>
        <v>0.529366106080207</v>
      </c>
      <c r="J38" s="103">
        <f>IF(F38&gt;0,H38/F38,0)</f>
        <v>0.8184</v>
      </c>
      <c r="K38" s="112">
        <f>муниц!K34+'Лен '!K30</f>
        <v>409.8</v>
      </c>
      <c r="L38" s="103">
        <f t="shared" si="4"/>
        <v>0.9985358711566618</v>
      </c>
      <c r="M38" s="112">
        <f>муниц!M34+'Лен '!M30</f>
        <v>47.8</v>
      </c>
      <c r="N38" s="112">
        <f>муниц!N34+'Лен '!N30</f>
        <v>40.4</v>
      </c>
      <c r="O38" s="103">
        <f t="shared" si="5"/>
        <v>1.183168316831683</v>
      </c>
      <c r="P38" s="113"/>
      <c r="Q38" s="114"/>
      <c r="R38" s="114"/>
    </row>
    <row r="39" spans="1:18" ht="18">
      <c r="A39" s="15" t="s">
        <v>39</v>
      </c>
      <c r="B39" s="22">
        <v>1130299510</v>
      </c>
      <c r="C39" s="112">
        <f>муниц!C35+'Лен '!C31+Высокор!C29+Гост!C30+Новотр!C29+Черн!C29</f>
        <v>1710.11</v>
      </c>
      <c r="D39" s="163">
        <f>муниц!D35+'Лен '!D31+Высокор!D29+Гост!D30+Новотр!D29+Черн!D29</f>
        <v>193.19</v>
      </c>
      <c r="E39" s="104">
        <f t="shared" si="11"/>
        <v>1903.3</v>
      </c>
      <c r="F39" s="112">
        <f>муниц!F35+'Лен '!F31+Высокор!F29+Гост!F30+Новотр!F29+Черн!F29</f>
        <v>0</v>
      </c>
      <c r="G39" s="112">
        <f>муниц!G35+'Лен '!G31+Высокор!G29+Гост!G30+Новотр!G29+Черн!G29</f>
        <v>895.8000000000001</v>
      </c>
      <c r="H39" s="102">
        <f>G39+M39</f>
        <v>1086</v>
      </c>
      <c r="I39" s="103">
        <f>IF(E39&gt;0,H39/E39,0)</f>
        <v>0.5705879262333842</v>
      </c>
      <c r="J39" s="103">
        <f>IF(F39&gt;0,H39/F39,0)</f>
        <v>0</v>
      </c>
      <c r="K39" s="112">
        <f>муниц!K35+'Лен '!K31+Высокор!K29+Гост!K30+Новотр!K29+Черн!K29</f>
        <v>926.0000000000001</v>
      </c>
      <c r="L39" s="103">
        <f t="shared" si="4"/>
        <v>1.1727861771058314</v>
      </c>
      <c r="M39" s="112">
        <f>муниц!M35+'Лен '!M31+Высокор!M29+Гост!M30+Новотр!M29+Черн!M29</f>
        <v>190.2</v>
      </c>
      <c r="N39" s="112">
        <f>муниц!N35+'Лен '!N31+Высокор!N29+Гост!N30+Новотр!N29+Черн!N29</f>
        <v>224.5</v>
      </c>
      <c r="O39" s="103">
        <f t="shared" si="5"/>
        <v>0.8472160356347438</v>
      </c>
      <c r="P39" s="113"/>
      <c r="Q39" s="114"/>
      <c r="R39" s="114"/>
    </row>
    <row r="40" spans="1:18" ht="18">
      <c r="A40" s="9" t="s">
        <v>88</v>
      </c>
      <c r="B40" s="18">
        <v>1140000000</v>
      </c>
      <c r="C40" s="105">
        <f aca="true" t="shared" si="14" ref="C40:H40">SUM(C41:C42)</f>
        <v>275</v>
      </c>
      <c r="D40" s="105">
        <f t="shared" si="14"/>
        <v>184</v>
      </c>
      <c r="E40" s="105">
        <f t="shared" si="14"/>
        <v>459</v>
      </c>
      <c r="F40" s="105">
        <f t="shared" si="14"/>
        <v>0</v>
      </c>
      <c r="G40" s="105">
        <f t="shared" si="14"/>
        <v>505.6</v>
      </c>
      <c r="H40" s="105">
        <f t="shared" si="14"/>
        <v>505.6</v>
      </c>
      <c r="I40" s="99">
        <f t="shared" si="2"/>
        <v>1.101525054466231</v>
      </c>
      <c r="J40" s="99">
        <f t="shared" si="3"/>
        <v>0</v>
      </c>
      <c r="K40" s="105">
        <f>SUM(K41:K42)</f>
        <v>42.6</v>
      </c>
      <c r="L40" s="99">
        <f t="shared" si="4"/>
        <v>11.868544600938968</v>
      </c>
      <c r="M40" s="105">
        <f>SUM(M41:M42)</f>
        <v>0</v>
      </c>
      <c r="N40" s="105">
        <f>SUM(N41:N42)</f>
        <v>0</v>
      </c>
      <c r="O40" s="99">
        <f t="shared" si="5"/>
        <v>0</v>
      </c>
      <c r="P40" s="108"/>
      <c r="Q40" s="108"/>
      <c r="R40" s="108"/>
    </row>
    <row r="41" spans="1:18" ht="18">
      <c r="A41" s="13" t="s">
        <v>31</v>
      </c>
      <c r="B41" s="13">
        <v>1140205200</v>
      </c>
      <c r="C41" s="112">
        <f>муниц!C37+'Лен '!C33+Высокор!C30+Гост!C31+Новотр!C31+Черн!C30</f>
        <v>200</v>
      </c>
      <c r="D41" s="112">
        <f>муниц!D37+'Лен '!D33+Высокор!D30+Гост!D31+Новотр!D31+Черн!D30</f>
        <v>184</v>
      </c>
      <c r="E41" s="104">
        <f t="shared" si="11"/>
        <v>384</v>
      </c>
      <c r="F41" s="112">
        <f>муниц!F37+'Лен '!F33+Высокор!F30+Гост!F31+Новотр!F31+Черн!F30</f>
        <v>0</v>
      </c>
      <c r="G41" s="112">
        <f>муниц!G37+'Лен '!G33+Высокор!G30+Гост!G31+Новотр!G31+Черн!G30</f>
        <v>410.7</v>
      </c>
      <c r="H41" s="102">
        <f>G41+M41</f>
        <v>410.7</v>
      </c>
      <c r="I41" s="103">
        <f t="shared" si="2"/>
        <v>1.06953125</v>
      </c>
      <c r="J41" s="103">
        <f t="shared" si="3"/>
        <v>0</v>
      </c>
      <c r="K41" s="112">
        <f>муниц!K37+'Лен '!K33+Высокор!K30+Гост!K31+Новотр!K31+Черн!K30</f>
        <v>0</v>
      </c>
      <c r="L41" s="103">
        <f t="shared" si="4"/>
        <v>0</v>
      </c>
      <c r="M41" s="112">
        <f>муниц!M37+'Лен '!M33+Высокор!M30+Гост!M31+Новотр!M31+Черн!M30</f>
        <v>0</v>
      </c>
      <c r="N41" s="112">
        <f>муниц!N37+'Лен '!N33+Высокор!N30+Гост!N31+Новотр!N31+Черн!N30</f>
        <v>0</v>
      </c>
      <c r="O41" s="103">
        <f t="shared" si="5"/>
        <v>0</v>
      </c>
      <c r="P41" s="114"/>
      <c r="Q41" s="114"/>
      <c r="R41" s="114"/>
    </row>
    <row r="42" spans="1:18" ht="18">
      <c r="A42" s="13" t="s">
        <v>32</v>
      </c>
      <c r="B42" s="13">
        <v>1140600000</v>
      </c>
      <c r="C42" s="112">
        <f>муниц!C38+'Лен '!C34+Высокор!C31+Гост!C32+Новотр!C30+Черн!C31+'Лен '!C35</f>
        <v>75</v>
      </c>
      <c r="D42" s="112">
        <f>муниц!D38+'Лен '!D34+Высокор!D31+Гост!D32+Новотр!D30+Черн!D31+'Лен '!D35</f>
        <v>0</v>
      </c>
      <c r="E42" s="104">
        <f t="shared" si="11"/>
        <v>75</v>
      </c>
      <c r="F42" s="112">
        <f>муниц!F38+'Лен '!F34+Высокор!F31+Гост!F32+Новотр!F30+Черн!F31</f>
        <v>0</v>
      </c>
      <c r="G42" s="112">
        <f>муниц!G38+'Лен '!G34+Высокор!G31+Гост!G32+Новотр!G30+Черн!G31+'Лен '!G35</f>
        <v>94.9</v>
      </c>
      <c r="H42" s="102">
        <f>G42+M42</f>
        <v>94.9</v>
      </c>
      <c r="I42" s="103">
        <f t="shared" si="2"/>
        <v>1.2653333333333334</v>
      </c>
      <c r="J42" s="103">
        <f t="shared" si="3"/>
        <v>0</v>
      </c>
      <c r="K42" s="112">
        <f>муниц!K38+'Лен '!K34+Высокор!K31+Гост!K32+Новотр!K30+Черн!K31+'Лен '!K35</f>
        <v>42.6</v>
      </c>
      <c r="L42" s="103">
        <f t="shared" si="4"/>
        <v>2.227699530516432</v>
      </c>
      <c r="M42" s="112">
        <f>муниц!M38+'Лен '!M34+Высокор!M31+Гост!M32+Новотр!M30+Черн!M31+'Лен '!M35</f>
        <v>0</v>
      </c>
      <c r="N42" s="112">
        <f>муниц!N38+'Лен '!N34+Высокор!N31+Гост!N32+Новотр!N30+Черн!N31+'Лен '!N35</f>
        <v>0</v>
      </c>
      <c r="O42" s="103">
        <f t="shared" si="5"/>
        <v>0</v>
      </c>
      <c r="P42" s="114"/>
      <c r="Q42" s="114"/>
      <c r="R42" s="114"/>
    </row>
    <row r="43" spans="1:18" ht="18">
      <c r="A43" s="9" t="s">
        <v>89</v>
      </c>
      <c r="B43" s="18">
        <v>1160000000</v>
      </c>
      <c r="C43" s="105">
        <f>муниц!C39+'Лен '!C36+Высокор!C32+Гост!C33+Новотр!C32+Черн!C32</f>
        <v>176.6</v>
      </c>
      <c r="D43" s="105">
        <f>муниц!D39+'Лен '!D36+Высокор!D32+Гост!D33+Новотр!D32+Черн!D32</f>
        <v>4226.099999999999</v>
      </c>
      <c r="E43" s="107">
        <f t="shared" si="11"/>
        <v>4402.7</v>
      </c>
      <c r="F43" s="105">
        <f>муниц!F39+'Лен '!F36+Высокор!F32+Гост!F33+Новотр!F32+Черн!F32</f>
        <v>83</v>
      </c>
      <c r="G43" s="105">
        <f>муниц!G39+'Лен '!G36+Высокор!G32+Гост!G33+Новотр!G32+Черн!G32</f>
        <v>4474.8</v>
      </c>
      <c r="H43" s="98">
        <f>G43+M43</f>
        <v>4491.1</v>
      </c>
      <c r="I43" s="99">
        <f t="shared" si="2"/>
        <v>1.0200785881390966</v>
      </c>
      <c r="J43" s="99">
        <f t="shared" si="3"/>
        <v>54.10963855421687</v>
      </c>
      <c r="K43" s="105">
        <f>муниц!K39+'Лен '!K36+Высокор!K32+Гост!K33+Новотр!K32+Черн!K32</f>
        <v>261.09999999999997</v>
      </c>
      <c r="L43" s="99">
        <f t="shared" si="4"/>
        <v>17.20068939103792</v>
      </c>
      <c r="M43" s="105">
        <f>муниц!M39+'Лен '!M36+Высокор!M32+Гост!M33+Новотр!M32+Черн!M32</f>
        <v>16.299999999999997</v>
      </c>
      <c r="N43" s="105">
        <f>муниц!N39+'Лен '!N36+Высокор!N32+Гост!N33+Новотр!N32+Черн!N32</f>
        <v>71.4</v>
      </c>
      <c r="O43" s="99">
        <f t="shared" si="5"/>
        <v>0.22829131652661058</v>
      </c>
      <c r="P43" s="108"/>
      <c r="Q43" s="108"/>
      <c r="R43" s="108"/>
    </row>
    <row r="44" spans="1:18" ht="18">
      <c r="A44" s="9" t="s">
        <v>90</v>
      </c>
      <c r="B44" s="18">
        <v>1170000000</v>
      </c>
      <c r="C44" s="105">
        <f aca="true" t="shared" si="15" ref="C44:H44">SUM(C45:C46)</f>
        <v>0</v>
      </c>
      <c r="D44" s="105">
        <f t="shared" si="15"/>
        <v>0</v>
      </c>
      <c r="E44" s="105">
        <f t="shared" si="15"/>
        <v>0</v>
      </c>
      <c r="F44" s="105">
        <f t="shared" si="15"/>
        <v>0</v>
      </c>
      <c r="G44" s="105">
        <f t="shared" si="15"/>
        <v>6</v>
      </c>
      <c r="H44" s="105">
        <f t="shared" si="15"/>
        <v>10.1</v>
      </c>
      <c r="I44" s="99">
        <f t="shared" si="2"/>
        <v>0</v>
      </c>
      <c r="J44" s="99">
        <f t="shared" si="3"/>
        <v>0</v>
      </c>
      <c r="K44" s="105">
        <f>SUM(K45:K46)</f>
        <v>0</v>
      </c>
      <c r="L44" s="99">
        <f t="shared" si="4"/>
        <v>0</v>
      </c>
      <c r="M44" s="105">
        <f>SUM(M45:M46)</f>
        <v>4.100000000000001</v>
      </c>
      <c r="N44" s="105">
        <f>SUM(N45:N46)</f>
        <v>0.4</v>
      </c>
      <c r="O44" s="99">
        <f t="shared" si="5"/>
        <v>10.250000000000004</v>
      </c>
      <c r="P44" s="105">
        <f>SUM(P45:P46)</f>
        <v>0</v>
      </c>
      <c r="Q44" s="105">
        <f>SUM(Q45:Q46)</f>
        <v>0</v>
      </c>
      <c r="R44" s="105">
        <f>SUM(R45:R46)</f>
        <v>0</v>
      </c>
    </row>
    <row r="45" spans="1:18" ht="18">
      <c r="A45" s="13" t="s">
        <v>8</v>
      </c>
      <c r="B45" s="13">
        <v>1170105005</v>
      </c>
      <c r="C45" s="100"/>
      <c r="D45" s="100"/>
      <c r="E45" s="104">
        <f>C45+D45</f>
        <v>0</v>
      </c>
      <c r="F45" s="100"/>
      <c r="G45" s="100">
        <f>муниц!G41+'Лен '!G38+Высокор!G34+Гост!G35+Новотр!G34+Черн!G34</f>
        <v>5.5</v>
      </c>
      <c r="H45" s="102">
        <f>G45+M45</f>
        <v>9</v>
      </c>
      <c r="I45" s="103">
        <f t="shared" si="2"/>
        <v>0</v>
      </c>
      <c r="J45" s="103">
        <f t="shared" si="3"/>
        <v>0</v>
      </c>
      <c r="K45" s="100">
        <f>муниц!K41+'Лен '!K38+Высокор!K34+Гост!K35+Новотр!K34+Черн!K34</f>
        <v>-1.6</v>
      </c>
      <c r="L45" s="103">
        <f t="shared" si="4"/>
        <v>0</v>
      </c>
      <c r="M45" s="100">
        <f>муниц!M41+'Лен '!M38+Высокор!M34+Гост!M35+Новотр!M34+Черн!M34</f>
        <v>3.500000000000001</v>
      </c>
      <c r="N45" s="100">
        <f>муниц!N41+'Лен '!N38+Высокор!N34+Гост!N35+Новотр!N34+Черн!N34</f>
        <v>0</v>
      </c>
      <c r="O45" s="103">
        <f t="shared" si="5"/>
        <v>0</v>
      </c>
      <c r="P45" s="103"/>
      <c r="Q45" s="111"/>
      <c r="R45" s="111"/>
    </row>
    <row r="46" spans="1:18" ht="18">
      <c r="A46" s="13" t="s">
        <v>14</v>
      </c>
      <c r="B46" s="13">
        <v>1170505005</v>
      </c>
      <c r="C46" s="100">
        <f>муниц!C42+'Лен '!C39+Высокор!C35+Гост!C36+Новотр!C35+Черн!C35</f>
        <v>0</v>
      </c>
      <c r="D46" s="100">
        <f>муниц!D42+'Лен '!D39+Высокор!D35+Гост!D36+Новотр!D35+Черн!D35</f>
        <v>0</v>
      </c>
      <c r="E46" s="104">
        <f>C46+D46</f>
        <v>0</v>
      </c>
      <c r="F46" s="100">
        <f>муниц!F42+'Лен '!F39+Высокор!F35+Гост!F36+Новотр!F35+Черн!F35</f>
        <v>0</v>
      </c>
      <c r="G46" s="100">
        <f>муниц!G42+'Лен '!G39+Высокор!G35+Гост!G36+Новотр!G35+Черн!G35</f>
        <v>0.5</v>
      </c>
      <c r="H46" s="102">
        <f>G46+M46</f>
        <v>1.1</v>
      </c>
      <c r="I46" s="103">
        <f t="shared" si="2"/>
        <v>0</v>
      </c>
      <c r="J46" s="103">
        <f t="shared" si="3"/>
        <v>0</v>
      </c>
      <c r="K46" s="100">
        <f>муниц!K42+'Лен '!K39+Высокор!K35+Гост!K36+Новотр!K35+Черн!K35</f>
        <v>1.6</v>
      </c>
      <c r="L46" s="103">
        <f t="shared" si="4"/>
        <v>0.6875</v>
      </c>
      <c r="M46" s="100">
        <f>муниц!M42+'Лен '!M39+Высокор!M35+Гост!M36+Новотр!M35+Черн!M35</f>
        <v>0.6000000000000001</v>
      </c>
      <c r="N46" s="100">
        <f>муниц!N42+'Лен '!N39+Высокор!N35+Гост!N36+Новотр!N35+Черн!N35</f>
        <v>0.4</v>
      </c>
      <c r="O46" s="103">
        <f t="shared" si="5"/>
        <v>1.5000000000000002</v>
      </c>
      <c r="P46" s="100"/>
      <c r="Q46" s="100"/>
      <c r="R46" s="100"/>
    </row>
    <row r="47" spans="1:18" ht="18">
      <c r="A47" s="16" t="s">
        <v>6</v>
      </c>
      <c r="B47" s="23">
        <v>1000000000</v>
      </c>
      <c r="C47" s="115">
        <f aca="true" t="shared" si="16" ref="C47:H47">C5+C28</f>
        <v>79086.79</v>
      </c>
      <c r="D47" s="115">
        <f t="shared" si="16"/>
        <v>6173.286</v>
      </c>
      <c r="E47" s="117">
        <f t="shared" si="16"/>
        <v>85260.076</v>
      </c>
      <c r="F47" s="117">
        <f t="shared" si="16"/>
        <v>31473.600000000002</v>
      </c>
      <c r="G47" s="118">
        <f t="shared" si="16"/>
        <v>41290.100000000006</v>
      </c>
      <c r="H47" s="118">
        <f t="shared" si="16"/>
        <v>46497.4</v>
      </c>
      <c r="I47" s="119">
        <f t="shared" si="2"/>
        <v>0.5453595889358579</v>
      </c>
      <c r="J47" s="119">
        <f t="shared" si="3"/>
        <v>1.4773460932336941</v>
      </c>
      <c r="K47" s="116">
        <f>K5+K28</f>
        <v>42167.3</v>
      </c>
      <c r="L47" s="119">
        <f t="shared" si="4"/>
        <v>1.1026885762190133</v>
      </c>
      <c r="M47" s="118">
        <f>M5+M28</f>
        <v>5207.3</v>
      </c>
      <c r="N47" s="118">
        <f>N5+N28</f>
        <v>6378.6</v>
      </c>
      <c r="O47" s="119">
        <f t="shared" si="5"/>
        <v>0.8163703634026275</v>
      </c>
      <c r="P47" s="116">
        <f>P5+P28</f>
        <v>3752.7000000000003</v>
      </c>
      <c r="Q47" s="116">
        <f>Q5+Q28</f>
        <v>2890.1000000000004</v>
      </c>
      <c r="R47" s="116">
        <f>R5+R28</f>
        <v>2750.8</v>
      </c>
    </row>
    <row r="48" spans="1:18" ht="18">
      <c r="A48" s="13" t="s">
        <v>37</v>
      </c>
      <c r="B48" s="21">
        <v>2000000000</v>
      </c>
      <c r="C48" s="120">
        <f>муниц!C45</f>
        <v>158603.98</v>
      </c>
      <c r="D48" s="120">
        <f>муниц!D45</f>
        <v>21171.84</v>
      </c>
      <c r="E48" s="121">
        <f>C48+D48</f>
        <v>179775.82</v>
      </c>
      <c r="F48" s="102">
        <f>муниц!F45</f>
        <v>74695.19</v>
      </c>
      <c r="G48" s="102">
        <f>муниц!G45</f>
        <v>78998</v>
      </c>
      <c r="H48" s="102">
        <f>G48+M48</f>
        <v>90803.2</v>
      </c>
      <c r="I48" s="103">
        <f t="shared" si="2"/>
        <v>0.505091285357508</v>
      </c>
      <c r="J48" s="103">
        <f t="shared" si="3"/>
        <v>1.2156498965997675</v>
      </c>
      <c r="K48" s="102">
        <f>муниц!K45</f>
        <v>92913.1</v>
      </c>
      <c r="L48" s="103">
        <f t="shared" si="4"/>
        <v>0.977291684380351</v>
      </c>
      <c r="M48" s="102">
        <f>муниц!M45</f>
        <v>11805.2</v>
      </c>
      <c r="N48" s="102">
        <f>муниц!N45</f>
        <v>19881</v>
      </c>
      <c r="O48" s="103">
        <f t="shared" si="5"/>
        <v>0.5937930687591167</v>
      </c>
      <c r="P48" s="111"/>
      <c r="Q48" s="111"/>
      <c r="R48" s="111"/>
    </row>
    <row r="49" spans="1:18" ht="18">
      <c r="A49" s="13" t="s">
        <v>48</v>
      </c>
      <c r="B49" s="24" t="s">
        <v>40</v>
      </c>
      <c r="C49" s="100">
        <f>муниц!C46+'Лен '!C43+Высокор!C39+Гост!C40+Новотр!C39+Черн!C39</f>
        <v>325</v>
      </c>
      <c r="D49" s="100">
        <f>муниц!D46+'Лен '!D43+Высокор!D39+Гост!D40+Новотр!D39+Черн!D39</f>
        <v>3074.815</v>
      </c>
      <c r="E49" s="104">
        <f>C49+D49</f>
        <v>3399.815</v>
      </c>
      <c r="F49" s="100">
        <f>муниц!F46+'Лен '!F43+Высокор!F39+Гост!F40+Новотр!F39+Черн!F39</f>
        <v>0</v>
      </c>
      <c r="G49" s="100">
        <f>муниц!G46+'Лен '!G43+Высокор!G39+Гост!G40+Новотр!G39+Черн!G39</f>
        <v>3379.9</v>
      </c>
      <c r="H49" s="102">
        <f>G49+M49</f>
        <v>3385</v>
      </c>
      <c r="I49" s="103">
        <f>IF(E49&gt;0,H49/E49,0)</f>
        <v>0.9956424099546592</v>
      </c>
      <c r="J49" s="103">
        <f>IF(F49&gt;0,H49/F49,0)</f>
        <v>0</v>
      </c>
      <c r="K49" s="100">
        <f>муниц!K46+'Лен '!K43+Высокор!K39+Гост!K40+Новотр!K39+Черн!K39</f>
        <v>1208</v>
      </c>
      <c r="L49" s="103">
        <f t="shared" si="4"/>
        <v>2.8021523178807946</v>
      </c>
      <c r="M49" s="100">
        <f>муниц!M46+'Лен '!M43+Высокор!M39+Гост!M40+Новотр!M39+Черн!M39</f>
        <v>5.1</v>
      </c>
      <c r="N49" s="100">
        <f>муниц!N46+'Лен '!N43+Высокор!N39+Гост!N40+Новотр!N39+Черн!N39</f>
        <v>3</v>
      </c>
      <c r="O49" s="103">
        <f t="shared" si="5"/>
        <v>1.7</v>
      </c>
      <c r="P49" s="111"/>
      <c r="Q49" s="111"/>
      <c r="R49" s="111"/>
    </row>
    <row r="50" spans="1:18" ht="20.25" customHeight="1">
      <c r="A50" s="8" t="s">
        <v>95</v>
      </c>
      <c r="B50" s="130" t="s">
        <v>96</v>
      </c>
      <c r="C50" s="100"/>
      <c r="D50" s="100"/>
      <c r="E50" s="121"/>
      <c r="F50" s="100"/>
      <c r="G50" s="100">
        <f>муниц!G48</f>
        <v>-336.2</v>
      </c>
      <c r="H50" s="102">
        <f>G50+M50</f>
        <v>-393.3</v>
      </c>
      <c r="I50" s="103"/>
      <c r="J50" s="103"/>
      <c r="K50" s="100">
        <f>муниц!K48</f>
        <v>-836.2</v>
      </c>
      <c r="L50" s="103"/>
      <c r="M50" s="100">
        <f>муниц!M48</f>
        <v>-57.1</v>
      </c>
      <c r="N50" s="100">
        <f>муниц!N48</f>
        <v>-81.2</v>
      </c>
      <c r="O50" s="103"/>
      <c r="P50" s="111"/>
      <c r="Q50" s="111"/>
      <c r="R50" s="111"/>
    </row>
    <row r="51" spans="1:18" ht="18">
      <c r="A51" s="16" t="s">
        <v>2</v>
      </c>
      <c r="B51" s="25"/>
      <c r="C51" s="115">
        <f>C47+C48+C49</f>
        <v>238015.77000000002</v>
      </c>
      <c r="D51" s="115">
        <f>D47+D48+D49</f>
        <v>30419.941</v>
      </c>
      <c r="E51" s="115">
        <f>E47+E48+E49</f>
        <v>268435.711</v>
      </c>
      <c r="F51" s="116">
        <f>F47+F48+F49</f>
        <v>106168.79000000001</v>
      </c>
      <c r="G51" s="118">
        <f>G47+G48+G49+G50</f>
        <v>123331.8</v>
      </c>
      <c r="H51" s="118">
        <f>H47+H48+H49+H50</f>
        <v>140292.30000000002</v>
      </c>
      <c r="I51" s="119">
        <f t="shared" si="2"/>
        <v>0.5226290476679536</v>
      </c>
      <c r="J51" s="119">
        <f t="shared" si="3"/>
        <v>1.3214081087295053</v>
      </c>
      <c r="K51" s="118">
        <f>K47+K48+K49+K50</f>
        <v>135452.2</v>
      </c>
      <c r="L51" s="119">
        <f t="shared" si="4"/>
        <v>1.035732900609957</v>
      </c>
      <c r="M51" s="118">
        <f>M47+M48+M49+M50</f>
        <v>16960.5</v>
      </c>
      <c r="N51" s="118">
        <f>N47+N48+N49+N50</f>
        <v>26181.399999999998</v>
      </c>
      <c r="O51" s="119">
        <f t="shared" si="5"/>
        <v>0.6478072219209058</v>
      </c>
      <c r="P51" s="116">
        <f>P47+P48</f>
        <v>3752.7000000000003</v>
      </c>
      <c r="Q51" s="116">
        <f>Q47+Q48</f>
        <v>2890.1000000000004</v>
      </c>
      <c r="R51" s="116">
        <f>R47+R48</f>
        <v>2750.8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2018-07-04T07:41:10Z</cp:lastPrinted>
  <dcterms:created xsi:type="dcterms:W3CDTF">2003-11-05T12:49:21Z</dcterms:created>
  <dcterms:modified xsi:type="dcterms:W3CDTF">2018-07-19T12:50:43Z</dcterms:modified>
  <cp:category/>
  <cp:version/>
  <cp:contentType/>
  <cp:contentStatus/>
</cp:coreProperties>
</file>