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'консолид'!$A$1:$R$51</definedName>
    <definedName name="_xlnm.Print_Area" localSheetId="0">'муниц'!$A$1:$R$50</definedName>
    <definedName name="_xlnm.Print_Area" localSheetId="5">'Черн'!$A$1:$R$40</definedName>
  </definedNames>
  <calcPr fullCalcOnLoad="1"/>
</workbook>
</file>

<file path=xl/sharedStrings.xml><?xml version="1.0" encoding="utf-8"?>
<sst xmlns="http://schemas.openxmlformats.org/spreadsheetml/2006/main" count="450" uniqueCount="131">
  <si>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</si>
  <si>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</si>
  <si>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</si>
  <si>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</si>
  <si>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</si>
  <si>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</si>
  <si>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</si>
  <si>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</si>
  <si>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</si>
  <si>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</si>
  <si>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</si>
  <si>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</si>
  <si>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</si>
  <si>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</si>
  <si>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</si>
  <si>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</si>
  <si>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</si>
  <si>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</si>
  <si>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</si>
  <si>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</si>
  <si>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</si>
  <si>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</si>
  <si>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</si>
  <si>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</si>
  <si>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</si>
  <si>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</si>
  <si>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</si>
  <si>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</si>
  <si>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</si>
  <si>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</si>
  <si>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</si>
  <si>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</si>
  <si>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</si>
  <si>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.ин гражд ос тр деят по патенту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</si>
  <si>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</si>
  <si>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</si>
  <si>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</si>
  <si>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</si>
  <si>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</si>
  <si>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</si>
  <si>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</si>
  <si>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</si>
  <si>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</si>
  <si>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</si>
  <si>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ин гражд ос тр деят по патенту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</si>
  <si>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</si>
  <si>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</si>
  <si>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</si>
  <si>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</si>
  <si>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</si>
  <si>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</si>
  <si>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</si>
  <si>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</si>
  <si>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</si>
  <si>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</si>
  <si>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</si>
  <si>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</si>
  <si>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</si>
  <si>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</si>
  <si>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</si>
  <si>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</si>
  <si>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</si>
  <si>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</si>
  <si>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</si>
  <si>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</si>
  <si>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</si>
  <si>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</si>
  <si>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</si>
  <si>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</si>
  <si>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</si>
  <si>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</si>
  <si>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</si>
  <si>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</si>
  <si>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</si>
  <si>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</si>
  <si>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</si>
  <si>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</si>
  <si>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</si>
  <si>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</si>
  <si>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</si>
  <si>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</si>
  <si>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</si>
  <si>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</si>
  <si>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</si>
  <si>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</si>
  <si>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</si>
  <si>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</si>
  <si>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</si>
  <si>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</si>
  <si>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</si>
  <si>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</si>
  <si>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</si>
  <si>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</si>
  <si>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</si>
  <si>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</si>
  <si>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</si>
  <si>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</si>
  <si>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</si>
  <si>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</si>
  <si>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</si>
  <si>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</si>
  <si>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</si>
  <si>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</si>
  <si>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</si>
  <si>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</si>
  <si>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</si>
  <si>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</si>
  <si>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</si>
  <si>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2017 год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</si>
  <si>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</si>
  <si>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</si>
  <si>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</si>
  <si>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</si>
  <si>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</si>
  <si>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Первоначальный план на 2018 год</t>
  </si>
  <si>
    <t>Уточненный план на 2018 год</t>
  </si>
  <si>
    <t>2018 год</t>
  </si>
  <si>
    <t>на 01.01.2018года</t>
  </si>
  <si>
    <t>Фактическое исполнение за январь - февраль</t>
  </si>
  <si>
    <t>на 01.03.2018</t>
  </si>
  <si>
    <t>Фактическое исполнение за январь -март</t>
  </si>
  <si>
    <t>Поступило за март  2018 года</t>
  </si>
  <si>
    <t>Поступило за март   2017 года</t>
  </si>
  <si>
    <t>на 01.04.2018</t>
  </si>
  <si>
    <t>Сведения об исполнении бюджета муниципального района по состоянию на 01 апреля  2018 года</t>
  </si>
  <si>
    <t xml:space="preserve">об исполнении бюджета Ленинского городского поселения на 01  апреля  2018 г. </t>
  </si>
  <si>
    <t>об исполнении бюджета Высокораменского сельского поселения на 01 апреля  2018 г.</t>
  </si>
  <si>
    <t>об исполнении бюджета Гостовского сельского поселения на 01 апреля 2018г.</t>
  </si>
  <si>
    <t>об исполнении бюджета Новотроицкого сельского поселения на 01   апреля  2018 г.</t>
  </si>
  <si>
    <t>об исполнении бюджета Черновского сельского поселения на 01 апреля   2018 г.</t>
  </si>
  <si>
    <t xml:space="preserve">об исполнении бюджета муниципального  образования на 01 апреля  2018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</si>
</sst>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4" borderId="12" xfId="0" applyFont="1" applyFill="1" applyBorder="1" applyAlignment="1">
      <alignment wrapText="1"/>
    </xf>
    <xf numFmtId="174" fontId="12" fillId="34" borderId="12" xfId="0" applyNumberFormat="1" applyFont="1" applyFill="1" applyBorder="1" applyAlignment="1">
      <alignment wrapText="1"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5" fillId="0" borderId="15" xfId="0" applyNumberFormat="1" applyFont="1" applyFill="1" applyBorder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3" fillId="12" borderId="16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5" xfId="55" applyNumberFormat="1" applyFont="1" applyFill="1" applyBorder="1" applyAlignment="1">
      <alignment/>
    </xf>
    <xf numFmtId="172" fontId="13" fillId="0" borderId="15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SheetLayoutView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7" sqref="R7"/>
    </sheetView>
  </sheetViews>
  <sheetFormatPr defaultColWidth="9.00390625" defaultRowHeight="12.75"/>
  <cols>
    <col min="1" max="1" width="36.25390625" style="0" customWidth="1"/>
    <col min="2" max="2" width="13.375" style="0" customWidth="1"/>
    <col min="3" max="4" width="14.375" style="0" customWidth="1"/>
    <col min="5" max="5" width="14.125" style="0" customWidth="1"/>
    <col min="6" max="6" width="11.875" style="0" hidden="1" customWidth="1"/>
    <col min="7" max="7" width="12.37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</cols>
  <sheetData>
    <row r="1" spans="1:13" ht="24.75" customHeight="1">
      <c r="A1" s="165" t="s">
        <v>124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8" ht="20.25" customHeight="1">
      <c r="A2" s="164" t="s">
        <v>28</v>
      </c>
      <c r="B2" s="164" t="s">
        <v>4</v>
      </c>
      <c r="C2" s="164" t="s">
        <v>114</v>
      </c>
      <c r="D2" s="164" t="s">
        <v>24</v>
      </c>
      <c r="E2" s="164" t="s">
        <v>115</v>
      </c>
      <c r="F2" s="164" t="s">
        <v>101</v>
      </c>
      <c r="G2" s="164" t="s">
        <v>118</v>
      </c>
      <c r="H2" s="164" t="s">
        <v>116</v>
      </c>
      <c r="I2" s="164"/>
      <c r="J2" s="164"/>
      <c r="K2" s="164" t="s">
        <v>108</v>
      </c>
      <c r="L2" s="164"/>
      <c r="M2" s="164" t="s">
        <v>121</v>
      </c>
      <c r="N2" s="164" t="s">
        <v>122</v>
      </c>
      <c r="O2" s="164" t="s">
        <v>30</v>
      </c>
      <c r="P2" s="164" t="s">
        <v>9</v>
      </c>
      <c r="Q2" s="164"/>
      <c r="R2" s="164"/>
    </row>
    <row r="3" spans="1:18" ht="97.5" customHeight="1">
      <c r="A3" s="164"/>
      <c r="B3" s="164"/>
      <c r="C3" s="164"/>
      <c r="D3" s="164"/>
      <c r="E3" s="164"/>
      <c r="F3" s="164"/>
      <c r="G3" s="164"/>
      <c r="H3" s="47" t="s">
        <v>120</v>
      </c>
      <c r="I3" s="47" t="s">
        <v>10</v>
      </c>
      <c r="J3" s="47" t="s">
        <v>29</v>
      </c>
      <c r="K3" s="47" t="s">
        <v>120</v>
      </c>
      <c r="L3" s="47" t="s">
        <v>30</v>
      </c>
      <c r="M3" s="164"/>
      <c r="N3" s="164"/>
      <c r="O3" s="164"/>
      <c r="P3" s="124" t="s">
        <v>117</v>
      </c>
      <c r="Q3" s="124" t="s">
        <v>119</v>
      </c>
      <c r="R3" s="124" t="s">
        <v>123</v>
      </c>
    </row>
    <row r="4" spans="1:18" ht="18.75">
      <c r="A4" s="35" t="s">
        <v>21</v>
      </c>
      <c r="B4" s="36"/>
      <c r="C4" s="56">
        <f aca="true" t="shared" si="0" ref="C4:H4">C5+C10+C15+C21+C22+C23</f>
        <v>53265.6</v>
      </c>
      <c r="D4" s="56">
        <f t="shared" si="0"/>
        <v>0</v>
      </c>
      <c r="E4" s="56">
        <f t="shared" si="0"/>
        <v>53265.6</v>
      </c>
      <c r="F4" s="56">
        <f t="shared" si="0"/>
        <v>28289.9</v>
      </c>
      <c r="G4" s="56">
        <f t="shared" si="0"/>
        <v>5246.6</v>
      </c>
      <c r="H4" s="56">
        <f t="shared" si="0"/>
        <v>11276.199999999999</v>
      </c>
      <c r="I4" s="57">
        <f>IF(E4&gt;0,H4/E4,0)</f>
        <v>0.21169760595956863</v>
      </c>
      <c r="J4" s="57">
        <f>IF(F4&gt;0,H4/F4,0)</f>
        <v>0.39859455141234146</v>
      </c>
      <c r="K4" s="56">
        <f>K5+K10+K15+K21+K22+K23</f>
        <v>10575.800000000001</v>
      </c>
      <c r="L4" s="57">
        <f aca="true" t="shared" si="1" ref="L4:L49">IF(K4&gt;0,H4/K4,0)</f>
        <v>1.0662266684317023</v>
      </c>
      <c r="M4" s="56">
        <f>M5+M10+M15+M21+M22+M23</f>
        <v>6029.6</v>
      </c>
      <c r="N4" s="56">
        <f>N5+N10+N15+N21+N22+N23</f>
        <v>5781.3</v>
      </c>
      <c r="O4" s="57">
        <f aca="true" t="shared" si="2" ref="O4:O49">IF(N4&gt;0,M4/N4,0)</f>
        <v>1.0429488177399546</v>
      </c>
      <c r="P4" s="56">
        <f>P5+P10+P15+P21+P22+P23</f>
        <v>351.9</v>
      </c>
      <c r="Q4" s="56">
        <f>Q5+Q10+Q15+Q21+Q22+Q23</f>
        <v>445.90000000000003</v>
      </c>
      <c r="R4" s="56">
        <f>R5+R10+R15+R21+R22+R23</f>
        <v>1147.4</v>
      </c>
    </row>
    <row r="5" spans="1:18" ht="18.75">
      <c r="A5" s="37" t="s">
        <v>65</v>
      </c>
      <c r="B5" s="38">
        <v>1010200001</v>
      </c>
      <c r="C5" s="58">
        <f aca="true" t="shared" si="3" ref="C5:H5">SUM(C6:C9)</f>
        <v>13137</v>
      </c>
      <c r="D5" s="58">
        <f t="shared" si="3"/>
        <v>0</v>
      </c>
      <c r="E5" s="58">
        <f t="shared" si="3"/>
        <v>13137</v>
      </c>
      <c r="F5" s="58">
        <f t="shared" si="3"/>
        <v>9900.000000000002</v>
      </c>
      <c r="G5" s="58">
        <f t="shared" si="3"/>
        <v>2086.8999999999996</v>
      </c>
      <c r="H5" s="58">
        <f t="shared" si="3"/>
        <v>3275.0999999999995</v>
      </c>
      <c r="I5" s="59">
        <f>IF(E5&gt;0,H5/E5,0)</f>
        <v>0.24930349394839</v>
      </c>
      <c r="J5" s="59">
        <f>IF(F5&gt;0,H5/F5,0)</f>
        <v>0.3308181818181817</v>
      </c>
      <c r="K5" s="58">
        <f>SUM(K6:K9)</f>
        <v>2990.1000000000004</v>
      </c>
      <c r="L5" s="59">
        <f t="shared" si="1"/>
        <v>1.0953145379753182</v>
      </c>
      <c r="M5" s="58">
        <f>SUM(M6:M9)</f>
        <v>1188.2</v>
      </c>
      <c r="N5" s="58">
        <f>SUM(N6:N9)</f>
        <v>1168.5</v>
      </c>
      <c r="O5" s="59">
        <f t="shared" si="2"/>
        <v>1.0168592212237912</v>
      </c>
      <c r="P5" s="58">
        <f>SUM(P6:P9)</f>
        <v>73.5</v>
      </c>
      <c r="Q5" s="58">
        <f>SUM(Q6:Q9)</f>
        <v>61.800000000000004</v>
      </c>
      <c r="R5" s="58">
        <f>SUM(R6:R9)</f>
        <v>104.80000000000001</v>
      </c>
    </row>
    <row r="6" spans="1:18" ht="18.75" customHeight="1">
      <c r="A6" s="40" t="s">
        <v>41</v>
      </c>
      <c r="B6" s="8">
        <v>1010201001</v>
      </c>
      <c r="C6" s="60">
        <v>13083.4</v>
      </c>
      <c r="D6" s="61"/>
      <c r="E6" s="61">
        <f>C6+D6</f>
        <v>13083.4</v>
      </c>
      <c r="F6" s="61">
        <f>2700+346+3300+3328.7+150</f>
        <v>9824.7</v>
      </c>
      <c r="G6" s="61">
        <v>2083.7</v>
      </c>
      <c r="H6" s="61">
        <f>G6+M6</f>
        <v>3268.8999999999996</v>
      </c>
      <c r="I6" s="62">
        <f aca="true" t="shared" si="4" ref="I6:I49">IF(E6&gt;0,H6/E6,0)</f>
        <v>0.2498509561734717</v>
      </c>
      <c r="J6" s="62">
        <f aca="true" t="shared" si="5" ref="J6:J49">IF(F6&gt;0,H6/F6,0)</f>
        <v>0.33272262766293115</v>
      </c>
      <c r="K6" s="61">
        <v>2989.8</v>
      </c>
      <c r="L6" s="62">
        <f t="shared" si="1"/>
        <v>1.0933507258010566</v>
      </c>
      <c r="M6" s="61">
        <v>1185.2</v>
      </c>
      <c r="N6" s="61">
        <v>1168.6</v>
      </c>
      <c r="O6" s="62">
        <f t="shared" si="2"/>
        <v>1.0142050316618176</v>
      </c>
      <c r="P6" s="61">
        <v>66.8</v>
      </c>
      <c r="Q6" s="61">
        <v>58.2</v>
      </c>
      <c r="R6" s="61">
        <v>101.9</v>
      </c>
    </row>
    <row r="7" spans="1:18" ht="21" customHeight="1">
      <c r="A7" s="40" t="s">
        <v>42</v>
      </c>
      <c r="B7" s="8">
        <v>1010202001</v>
      </c>
      <c r="C7" s="60">
        <v>35.4</v>
      </c>
      <c r="D7" s="61"/>
      <c r="E7" s="61">
        <f aca="true" t="shared" si="6" ref="E7:E23">C7+D7</f>
        <v>35.4</v>
      </c>
      <c r="F7" s="61">
        <f>26.1</f>
        <v>26.1</v>
      </c>
      <c r="G7" s="61"/>
      <c r="H7" s="61">
        <f>G7+M7</f>
        <v>0.7</v>
      </c>
      <c r="I7" s="62">
        <f t="shared" si="4"/>
        <v>0.019774011299435026</v>
      </c>
      <c r="J7" s="62">
        <f t="shared" si="5"/>
        <v>0.026819923371647507</v>
      </c>
      <c r="K7" s="61"/>
      <c r="L7" s="62">
        <f t="shared" si="1"/>
        <v>0</v>
      </c>
      <c r="M7" s="61">
        <v>0.7</v>
      </c>
      <c r="N7" s="61"/>
      <c r="O7" s="62">
        <f t="shared" si="2"/>
        <v>0</v>
      </c>
      <c r="P7" s="61">
        <v>3.8</v>
      </c>
      <c r="Q7" s="61">
        <v>0.7</v>
      </c>
      <c r="R7" s="61"/>
    </row>
    <row r="8" spans="1:18" ht="21" customHeight="1">
      <c r="A8" s="40" t="s">
        <v>43</v>
      </c>
      <c r="B8" s="8">
        <v>1010203001</v>
      </c>
      <c r="C8" s="60">
        <v>18.2</v>
      </c>
      <c r="D8" s="61"/>
      <c r="E8" s="61">
        <f t="shared" si="6"/>
        <v>18.2</v>
      </c>
      <c r="F8" s="61">
        <f>2+45</f>
        <v>47</v>
      </c>
      <c r="G8" s="61">
        <v>3.2</v>
      </c>
      <c r="H8" s="61">
        <f>G8+M8</f>
        <v>5.5</v>
      </c>
      <c r="I8" s="62">
        <f t="shared" si="4"/>
        <v>0.30219780219780223</v>
      </c>
      <c r="J8" s="62">
        <f t="shared" si="5"/>
        <v>0.11702127659574468</v>
      </c>
      <c r="K8" s="61">
        <v>0.3</v>
      </c>
      <c r="L8" s="62">
        <f t="shared" si="1"/>
        <v>18.333333333333336</v>
      </c>
      <c r="M8" s="61">
        <v>2.3</v>
      </c>
      <c r="N8" s="61">
        <v>-0.1</v>
      </c>
      <c r="O8" s="62">
        <f t="shared" si="2"/>
        <v>0</v>
      </c>
      <c r="P8" s="61">
        <v>2.9</v>
      </c>
      <c r="Q8" s="61">
        <v>2.9</v>
      </c>
      <c r="R8" s="61">
        <v>2.9</v>
      </c>
    </row>
    <row r="9" spans="1:18" ht="20.25" customHeight="1" hidden="1">
      <c r="A9" s="40" t="s">
        <v>33</v>
      </c>
      <c r="B9" s="8">
        <v>1010204001</v>
      </c>
      <c r="C9" s="60"/>
      <c r="D9" s="61"/>
      <c r="E9" s="61">
        <f t="shared" si="6"/>
        <v>0</v>
      </c>
      <c r="F9" s="61">
        <f>2+0.2</f>
        <v>2.2</v>
      </c>
      <c r="G9" s="61"/>
      <c r="H9" s="61">
        <f>G9+M9</f>
        <v>0</v>
      </c>
      <c r="I9" s="62">
        <f t="shared" si="4"/>
        <v>0</v>
      </c>
      <c r="J9" s="62">
        <f t="shared" si="5"/>
        <v>0</v>
      </c>
      <c r="K9" s="61"/>
      <c r="L9" s="62">
        <f t="shared" si="1"/>
        <v>0</v>
      </c>
      <c r="M9" s="61"/>
      <c r="N9" s="61"/>
      <c r="O9" s="62">
        <f t="shared" si="2"/>
        <v>0</v>
      </c>
      <c r="P9" s="61"/>
      <c r="Q9" s="61"/>
      <c r="R9" s="61"/>
    </row>
    <row r="10" spans="1:18" ht="18" customHeight="1">
      <c r="A10" s="37" t="s">
        <v>50</v>
      </c>
      <c r="B10" s="39">
        <v>1030200001</v>
      </c>
      <c r="C10" s="58">
        <f aca="true" t="shared" si="7" ref="C10:H10">SUM(C11:C14)</f>
        <v>6432.400000000001</v>
      </c>
      <c r="D10" s="58">
        <f t="shared" si="7"/>
        <v>0</v>
      </c>
      <c r="E10" s="58">
        <f t="shared" si="7"/>
        <v>6432.400000000001</v>
      </c>
      <c r="F10" s="58">
        <f>925+200+490+1350+1800</f>
        <v>4765</v>
      </c>
      <c r="G10" s="58">
        <f>SUM(G11:G14)</f>
        <v>719.6000000000001</v>
      </c>
      <c r="H10" s="58">
        <f t="shared" si="7"/>
        <v>1540.3999999999999</v>
      </c>
      <c r="I10" s="59">
        <f t="shared" si="4"/>
        <v>0.23947515701759836</v>
      </c>
      <c r="J10" s="59">
        <f t="shared" si="5"/>
        <v>0.3232738719832109</v>
      </c>
      <c r="K10" s="58">
        <f>SUM(K11:K14)</f>
        <v>1506</v>
      </c>
      <c r="L10" s="59">
        <f t="shared" si="1"/>
        <v>1.0228419654714473</v>
      </c>
      <c r="M10" s="58">
        <f>SUM(M11:M14)</f>
        <v>820.8</v>
      </c>
      <c r="N10" s="58">
        <f>SUM(N11:N14)</f>
        <v>951.8</v>
      </c>
      <c r="O10" s="59">
        <f t="shared" si="2"/>
        <v>0.8623660432864046</v>
      </c>
      <c r="P10" s="58">
        <f>SUM(P11:P14)</f>
        <v>0</v>
      </c>
      <c r="Q10" s="58">
        <f>SUM(Q11:Q14)</f>
        <v>0</v>
      </c>
      <c r="R10" s="58">
        <f>SUM(R11:R14)</f>
        <v>0</v>
      </c>
    </row>
    <row r="11" spans="1:18" ht="18.75">
      <c r="A11" s="41" t="s">
        <v>51</v>
      </c>
      <c r="B11" s="41">
        <v>1030223001</v>
      </c>
      <c r="C11" s="60">
        <v>2262.6</v>
      </c>
      <c r="D11" s="61"/>
      <c r="E11" s="61">
        <f t="shared" si="6"/>
        <v>2262.6</v>
      </c>
      <c r="F11" s="61"/>
      <c r="G11" s="61">
        <v>301.5</v>
      </c>
      <c r="H11" s="61">
        <f>G11+M11</f>
        <v>634.6</v>
      </c>
      <c r="I11" s="62">
        <f t="shared" si="4"/>
        <v>0.280473791213648</v>
      </c>
      <c r="J11" s="62">
        <f t="shared" si="5"/>
        <v>0</v>
      </c>
      <c r="K11" s="61">
        <v>560.1</v>
      </c>
      <c r="L11" s="62">
        <f t="shared" si="1"/>
        <v>1.1330119621496162</v>
      </c>
      <c r="M11" s="61">
        <v>333.1</v>
      </c>
      <c r="N11" s="61">
        <v>363.5</v>
      </c>
      <c r="O11" s="62">
        <f t="shared" si="2"/>
        <v>0.9163686382393398</v>
      </c>
      <c r="P11" s="61"/>
      <c r="Q11" s="61"/>
      <c r="R11" s="61"/>
    </row>
    <row r="12" spans="1:18" ht="18.75">
      <c r="A12" s="41" t="s">
        <v>52</v>
      </c>
      <c r="B12" s="41">
        <v>1030224001</v>
      </c>
      <c r="C12" s="60">
        <v>18.6</v>
      </c>
      <c r="D12" s="61"/>
      <c r="E12" s="61">
        <f t="shared" si="6"/>
        <v>18.6</v>
      </c>
      <c r="F12" s="61"/>
      <c r="G12" s="61">
        <v>1.6</v>
      </c>
      <c r="H12" s="61">
        <f>G12+M12</f>
        <v>4.300000000000001</v>
      </c>
      <c r="I12" s="62">
        <f t="shared" si="4"/>
        <v>0.23118279569892475</v>
      </c>
      <c r="J12" s="62">
        <f t="shared" si="5"/>
        <v>0</v>
      </c>
      <c r="K12" s="61">
        <v>5.6</v>
      </c>
      <c r="L12" s="62">
        <f t="shared" si="1"/>
        <v>0.767857142857143</v>
      </c>
      <c r="M12" s="61">
        <v>2.7</v>
      </c>
      <c r="N12" s="61">
        <v>3.5</v>
      </c>
      <c r="O12" s="62">
        <f t="shared" si="2"/>
        <v>0.7714285714285715</v>
      </c>
      <c r="P12" s="61"/>
      <c r="Q12" s="61"/>
      <c r="R12" s="61"/>
    </row>
    <row r="13" spans="1:18" ht="18.75" customHeight="1">
      <c r="A13" s="41" t="s">
        <v>53</v>
      </c>
      <c r="B13" s="41">
        <v>1030225001</v>
      </c>
      <c r="C13" s="60">
        <v>4574.6</v>
      </c>
      <c r="D13" s="61"/>
      <c r="E13" s="61">
        <f t="shared" si="6"/>
        <v>4574.6</v>
      </c>
      <c r="F13" s="61"/>
      <c r="G13" s="61">
        <v>491.8</v>
      </c>
      <c r="H13" s="61">
        <f>G13+M13</f>
        <v>1033.8</v>
      </c>
      <c r="I13" s="62">
        <f t="shared" si="4"/>
        <v>0.22598697153849515</v>
      </c>
      <c r="J13" s="62">
        <f t="shared" si="5"/>
        <v>0</v>
      </c>
      <c r="K13" s="61">
        <v>1043</v>
      </c>
      <c r="L13" s="62">
        <f t="shared" si="1"/>
        <v>0.9911792905081496</v>
      </c>
      <c r="M13" s="61">
        <v>542</v>
      </c>
      <c r="N13" s="61">
        <v>656.9</v>
      </c>
      <c r="O13" s="62">
        <f t="shared" si="2"/>
        <v>0.8250875323489116</v>
      </c>
      <c r="P13" s="61"/>
      <c r="Q13" s="61"/>
      <c r="R13" s="61"/>
    </row>
    <row r="14" spans="1:18" ht="18.75" customHeight="1">
      <c r="A14" s="41" t="s">
        <v>54</v>
      </c>
      <c r="B14" s="41">
        <v>1030226001</v>
      </c>
      <c r="C14" s="60">
        <v>-423.4</v>
      </c>
      <c r="D14" s="61"/>
      <c r="E14" s="61">
        <f t="shared" si="6"/>
        <v>-423.4</v>
      </c>
      <c r="F14" s="61"/>
      <c r="G14" s="61">
        <v>-75.3</v>
      </c>
      <c r="H14" s="61">
        <f>G14+M14</f>
        <v>-132.3</v>
      </c>
      <c r="I14" s="62">
        <f t="shared" si="4"/>
        <v>0</v>
      </c>
      <c r="J14" s="62">
        <f t="shared" si="5"/>
        <v>0</v>
      </c>
      <c r="K14" s="61">
        <v>-102.7</v>
      </c>
      <c r="L14" s="62">
        <f t="shared" si="1"/>
        <v>0</v>
      </c>
      <c r="M14" s="61">
        <v>-57</v>
      </c>
      <c r="N14" s="61">
        <v>-72.1</v>
      </c>
      <c r="O14" s="62">
        <f t="shared" si="2"/>
        <v>0</v>
      </c>
      <c r="P14" s="61"/>
      <c r="Q14" s="61"/>
      <c r="R14" s="61"/>
    </row>
    <row r="15" spans="1:18" ht="18.75">
      <c r="A15" s="37" t="s">
        <v>57</v>
      </c>
      <c r="B15" s="38">
        <v>1050000000</v>
      </c>
      <c r="C15" s="58">
        <f aca="true" t="shared" si="8" ref="C15:H15">SUM(C16:C20)</f>
        <v>29165</v>
      </c>
      <c r="D15" s="58">
        <f t="shared" si="8"/>
        <v>0</v>
      </c>
      <c r="E15" s="58">
        <f t="shared" si="8"/>
        <v>29165</v>
      </c>
      <c r="F15" s="58">
        <f t="shared" si="8"/>
        <v>11352.9</v>
      </c>
      <c r="G15" s="58">
        <f>SUM(G16:G20)</f>
        <v>2366.0000000000005</v>
      </c>
      <c r="H15" s="58">
        <f t="shared" si="8"/>
        <v>5522.799999999999</v>
      </c>
      <c r="I15" s="59">
        <f t="shared" si="4"/>
        <v>0.18936396365506597</v>
      </c>
      <c r="J15" s="59">
        <f t="shared" si="5"/>
        <v>0.4864660130891666</v>
      </c>
      <c r="K15" s="58">
        <f>SUM(K16:K20)</f>
        <v>5060</v>
      </c>
      <c r="L15" s="59">
        <f t="shared" si="1"/>
        <v>1.0914624505928852</v>
      </c>
      <c r="M15" s="58">
        <f>SUM(M16:M20)</f>
        <v>3156.8</v>
      </c>
      <c r="N15" s="58">
        <f>SUM(N16:N20)</f>
        <v>2697.8999999999996</v>
      </c>
      <c r="O15" s="59">
        <f t="shared" si="2"/>
        <v>1.1700952592757332</v>
      </c>
      <c r="P15" s="58">
        <f>SUM(P16:P20)</f>
        <v>105.2</v>
      </c>
      <c r="Q15" s="58">
        <f>SUM(Q16:Q20)</f>
        <v>216.10000000000002</v>
      </c>
      <c r="R15" s="58">
        <f>SUM(R16:R20)</f>
        <v>874.1</v>
      </c>
    </row>
    <row r="16" spans="1:18" ht="18.75">
      <c r="A16" s="40" t="s">
        <v>55</v>
      </c>
      <c r="B16" s="8">
        <v>1050101001</v>
      </c>
      <c r="C16" s="60">
        <v>17380</v>
      </c>
      <c r="D16" s="61"/>
      <c r="E16" s="61">
        <f t="shared" si="6"/>
        <v>17380</v>
      </c>
      <c r="F16" s="61">
        <f>1100+1131+3100+350+1370</f>
        <v>7051</v>
      </c>
      <c r="G16" s="61">
        <v>1298.1</v>
      </c>
      <c r="H16" s="61">
        <f aca="true" t="shared" si="9" ref="H16:H23">G16+M16</f>
        <v>4007.9</v>
      </c>
      <c r="I16" s="62">
        <f t="shared" si="4"/>
        <v>0.23060414269275029</v>
      </c>
      <c r="J16" s="62">
        <f t="shared" si="5"/>
        <v>0.5684158275421927</v>
      </c>
      <c r="K16" s="61">
        <v>2782.2</v>
      </c>
      <c r="L16" s="62">
        <f t="shared" si="1"/>
        <v>1.440550643375746</v>
      </c>
      <c r="M16" s="61">
        <v>2709.8</v>
      </c>
      <c r="N16" s="61">
        <v>2017</v>
      </c>
      <c r="O16" s="62">
        <f t="shared" si="2"/>
        <v>1.3434804164600893</v>
      </c>
      <c r="P16" s="61">
        <v>73.6</v>
      </c>
      <c r="Q16" s="61">
        <v>183.4</v>
      </c>
      <c r="R16" s="61">
        <v>777.2</v>
      </c>
    </row>
    <row r="17" spans="1:18" ht="18.75">
      <c r="A17" s="40" t="s">
        <v>56</v>
      </c>
      <c r="B17" s="8">
        <v>1050102001</v>
      </c>
      <c r="C17" s="60">
        <v>6040.7</v>
      </c>
      <c r="D17" s="61"/>
      <c r="E17" s="61">
        <f t="shared" si="6"/>
        <v>6040.7</v>
      </c>
      <c r="F17" s="61">
        <f>100+159+500+350+400</f>
        <v>1509</v>
      </c>
      <c r="G17" s="61">
        <v>-182.6</v>
      </c>
      <c r="H17" s="61">
        <f t="shared" si="9"/>
        <v>149.79999999999998</v>
      </c>
      <c r="I17" s="62">
        <f t="shared" si="4"/>
        <v>0.0247984505107024</v>
      </c>
      <c r="J17" s="62">
        <f t="shared" si="5"/>
        <v>0.09927104042412192</v>
      </c>
      <c r="K17" s="61">
        <v>866.2</v>
      </c>
      <c r="L17" s="62">
        <f t="shared" si="1"/>
        <v>0.17293927499422762</v>
      </c>
      <c r="M17" s="61">
        <v>332.4</v>
      </c>
      <c r="N17" s="61">
        <v>710.6</v>
      </c>
      <c r="O17" s="62">
        <f t="shared" si="2"/>
        <v>0.46777371235575566</v>
      </c>
      <c r="P17" s="61">
        <v>1.4</v>
      </c>
      <c r="Q17" s="61">
        <v>1.4</v>
      </c>
      <c r="R17" s="61">
        <v>51.3</v>
      </c>
    </row>
    <row r="18" spans="1:18" ht="18.75">
      <c r="A18" s="40" t="s">
        <v>0</v>
      </c>
      <c r="B18" s="8">
        <v>1050200002</v>
      </c>
      <c r="C18" s="60">
        <v>5221.8</v>
      </c>
      <c r="D18" s="61"/>
      <c r="E18" s="61">
        <f t="shared" si="6"/>
        <v>5221.8</v>
      </c>
      <c r="F18" s="61">
        <f>1000+126+65+1480-30</f>
        <v>2641</v>
      </c>
      <c r="G18" s="61">
        <v>1154.3</v>
      </c>
      <c r="H18" s="61">
        <f t="shared" si="9"/>
        <v>1171.5</v>
      </c>
      <c r="I18" s="62">
        <f t="shared" si="4"/>
        <v>0.22434792600252787</v>
      </c>
      <c r="J18" s="62">
        <f t="shared" si="5"/>
        <v>0.4435819765240439</v>
      </c>
      <c r="K18" s="61">
        <v>1224.3</v>
      </c>
      <c r="L18" s="62">
        <f t="shared" si="1"/>
        <v>0.9568733153638814</v>
      </c>
      <c r="M18" s="61">
        <v>17.2</v>
      </c>
      <c r="N18" s="61">
        <v>-80</v>
      </c>
      <c r="O18" s="62">
        <f t="shared" si="2"/>
        <v>0</v>
      </c>
      <c r="P18" s="61">
        <v>30.2</v>
      </c>
      <c r="Q18" s="61">
        <v>31.3</v>
      </c>
      <c r="R18" s="61">
        <v>45.6</v>
      </c>
    </row>
    <row r="19" spans="1:18" ht="18.75">
      <c r="A19" s="40" t="s">
        <v>7</v>
      </c>
      <c r="B19" s="8">
        <v>1050300001</v>
      </c>
      <c r="C19" s="60">
        <v>372.5</v>
      </c>
      <c r="D19" s="61"/>
      <c r="E19" s="61">
        <f t="shared" si="6"/>
        <v>372.5</v>
      </c>
      <c r="F19" s="61">
        <f>5.4+5.6+52</f>
        <v>63</v>
      </c>
      <c r="G19" s="61">
        <v>15.9</v>
      </c>
      <c r="H19" s="61">
        <f t="shared" si="9"/>
        <v>29.4</v>
      </c>
      <c r="I19" s="62">
        <f t="shared" si="4"/>
        <v>0.0789261744966443</v>
      </c>
      <c r="J19" s="62">
        <f t="shared" si="5"/>
        <v>0.4666666666666666</v>
      </c>
      <c r="K19" s="61">
        <v>85.7</v>
      </c>
      <c r="L19" s="62">
        <f t="shared" si="1"/>
        <v>0.34305717619603265</v>
      </c>
      <c r="M19" s="61">
        <v>13.5</v>
      </c>
      <c r="N19" s="61">
        <v>21.7</v>
      </c>
      <c r="O19" s="62">
        <f t="shared" si="2"/>
        <v>0.6221198156682027</v>
      </c>
      <c r="P19" s="61"/>
      <c r="Q19" s="61"/>
      <c r="R19" s="61"/>
    </row>
    <row r="20" spans="1:18" ht="18.75">
      <c r="A20" s="40" t="s">
        <v>98</v>
      </c>
      <c r="B20" s="8">
        <v>1050402002</v>
      </c>
      <c r="C20" s="60">
        <v>150</v>
      </c>
      <c r="D20" s="61"/>
      <c r="E20" s="61">
        <f t="shared" si="6"/>
        <v>150</v>
      </c>
      <c r="F20" s="61">
        <f>50+15+2.9+21</f>
        <v>88.9</v>
      </c>
      <c r="G20" s="61">
        <v>80.3</v>
      </c>
      <c r="H20" s="61">
        <f t="shared" si="9"/>
        <v>164.2</v>
      </c>
      <c r="I20" s="62">
        <f t="shared" si="4"/>
        <v>1.0946666666666667</v>
      </c>
      <c r="J20" s="62">
        <f t="shared" si="5"/>
        <v>1.8470191226096735</v>
      </c>
      <c r="K20" s="61">
        <v>101.6</v>
      </c>
      <c r="L20" s="62">
        <f t="shared" si="1"/>
        <v>1.6161417322834646</v>
      </c>
      <c r="M20" s="61">
        <v>83.9</v>
      </c>
      <c r="N20" s="61">
        <v>28.6</v>
      </c>
      <c r="O20" s="62">
        <f t="shared" si="2"/>
        <v>2.9335664335664338</v>
      </c>
      <c r="P20" s="61"/>
      <c r="Q20" s="61"/>
      <c r="R20" s="61"/>
    </row>
    <row r="21" spans="1:18" ht="16.5" customHeight="1">
      <c r="A21" s="37" t="s">
        <v>59</v>
      </c>
      <c r="B21" s="38">
        <v>1060201002</v>
      </c>
      <c r="C21" s="58">
        <v>4121.2</v>
      </c>
      <c r="D21" s="63"/>
      <c r="E21" s="63">
        <f t="shared" si="6"/>
        <v>4121.2</v>
      </c>
      <c r="F21" s="63">
        <f>300+93+770+670+150</f>
        <v>1983</v>
      </c>
      <c r="G21" s="63">
        <v>3.1</v>
      </c>
      <c r="H21" s="63">
        <f t="shared" si="9"/>
        <v>835.1</v>
      </c>
      <c r="I21" s="59">
        <f t="shared" si="4"/>
        <v>0.20263515480927888</v>
      </c>
      <c r="J21" s="59">
        <f t="shared" si="5"/>
        <v>0.4211296016137166</v>
      </c>
      <c r="K21" s="63">
        <v>949.6</v>
      </c>
      <c r="L21" s="59">
        <f t="shared" si="1"/>
        <v>0.8794229149115417</v>
      </c>
      <c r="M21" s="63">
        <v>832</v>
      </c>
      <c r="N21" s="63">
        <v>941.1</v>
      </c>
      <c r="O21" s="59">
        <f t="shared" si="2"/>
        <v>0.8840718308362554</v>
      </c>
      <c r="P21" s="63">
        <v>173.2</v>
      </c>
      <c r="Q21" s="63">
        <v>168</v>
      </c>
      <c r="R21" s="63">
        <v>168.5</v>
      </c>
    </row>
    <row r="22" spans="1:18" ht="18" customHeight="1">
      <c r="A22" s="37" t="s">
        <v>66</v>
      </c>
      <c r="B22" s="38">
        <v>1080000000</v>
      </c>
      <c r="C22" s="58">
        <v>410</v>
      </c>
      <c r="D22" s="63"/>
      <c r="E22" s="63">
        <f t="shared" si="6"/>
        <v>410</v>
      </c>
      <c r="F22" s="63">
        <f>75+34+90+90</f>
        <v>289</v>
      </c>
      <c r="G22" s="63">
        <v>71</v>
      </c>
      <c r="H22" s="63">
        <f t="shared" si="9"/>
        <v>102.8</v>
      </c>
      <c r="I22" s="59">
        <f t="shared" si="4"/>
        <v>0.25073170731707317</v>
      </c>
      <c r="J22" s="59">
        <f t="shared" si="5"/>
        <v>0.35570934256055364</v>
      </c>
      <c r="K22" s="63">
        <v>70.1</v>
      </c>
      <c r="L22" s="59">
        <f t="shared" si="1"/>
        <v>1.4664764621968618</v>
      </c>
      <c r="M22" s="63">
        <v>31.8</v>
      </c>
      <c r="N22" s="63">
        <v>22</v>
      </c>
      <c r="O22" s="59">
        <f t="shared" si="2"/>
        <v>1.4454545454545455</v>
      </c>
      <c r="P22" s="63"/>
      <c r="Q22" s="63"/>
      <c r="R22" s="63"/>
    </row>
    <row r="23" spans="1:18" ht="2.25" customHeight="1" hidden="1">
      <c r="A23" s="37" t="s">
        <v>58</v>
      </c>
      <c r="B23" s="38">
        <v>1090000000</v>
      </c>
      <c r="C23" s="58"/>
      <c r="D23" s="63"/>
      <c r="E23" s="63">
        <f t="shared" si="6"/>
        <v>0</v>
      </c>
      <c r="F23" s="63"/>
      <c r="G23" s="63"/>
      <c r="H23" s="63">
        <f t="shared" si="9"/>
        <v>0</v>
      </c>
      <c r="I23" s="59">
        <f t="shared" si="4"/>
        <v>0</v>
      </c>
      <c r="J23" s="59">
        <f t="shared" si="5"/>
        <v>0</v>
      </c>
      <c r="K23" s="63"/>
      <c r="L23" s="59">
        <f t="shared" si="1"/>
        <v>0</v>
      </c>
      <c r="M23" s="63"/>
      <c r="N23" s="63"/>
      <c r="O23" s="59">
        <f t="shared" si="2"/>
        <v>0</v>
      </c>
      <c r="P23" s="63"/>
      <c r="Q23" s="63"/>
      <c r="R23" s="63"/>
    </row>
    <row r="24" spans="1:18" ht="18.75">
      <c r="A24" s="42" t="s">
        <v>22</v>
      </c>
      <c r="B24" s="43"/>
      <c r="C24" s="56">
        <f aca="true" t="shared" si="10" ref="C24:H24">C25+C31+C32+C36+C39+C40</f>
        <v>11212.6</v>
      </c>
      <c r="D24" s="56">
        <f t="shared" si="10"/>
        <v>0</v>
      </c>
      <c r="E24" s="56">
        <f t="shared" si="10"/>
        <v>11212.6</v>
      </c>
      <c r="F24" s="56">
        <f t="shared" si="10"/>
        <v>7948.7</v>
      </c>
      <c r="G24" s="143">
        <f>G25+G31+G32+G36+G39+G40</f>
        <v>5929.7</v>
      </c>
      <c r="H24" s="56">
        <f t="shared" si="10"/>
        <v>7139.9</v>
      </c>
      <c r="I24" s="57">
        <f t="shared" si="4"/>
        <v>0.6367746998911937</v>
      </c>
      <c r="J24" s="57">
        <f t="shared" si="5"/>
        <v>0.8982475121718017</v>
      </c>
      <c r="K24" s="143">
        <f>K25+K31+K32+K36+K39+K40</f>
        <v>4290</v>
      </c>
      <c r="L24" s="57">
        <f t="shared" si="1"/>
        <v>1.6643123543123541</v>
      </c>
      <c r="M24" s="143">
        <f>M25+M31+M32+M36+M39+M40</f>
        <v>1210.1999999999998</v>
      </c>
      <c r="N24" s="143">
        <f>N25+N31+N32+N36+N39+N40</f>
        <v>1806.9</v>
      </c>
      <c r="O24" s="57">
        <f t="shared" si="2"/>
        <v>0.6697658973933255</v>
      </c>
      <c r="P24" s="56">
        <f>P25+P31+P32+P36+P39+P40</f>
        <v>646.8</v>
      </c>
      <c r="Q24" s="56">
        <f>Q25+Q31+Q32+Q36+Q39+Q40</f>
        <v>636</v>
      </c>
      <c r="R24" s="56">
        <f>R25+R31+R32+R36+R39+R40</f>
        <v>620</v>
      </c>
    </row>
    <row r="25" spans="1:18" ht="18.75">
      <c r="A25" s="44" t="s">
        <v>63</v>
      </c>
      <c r="B25" s="38">
        <v>1110000000</v>
      </c>
      <c r="C25" s="58">
        <f aca="true" t="shared" si="11" ref="C25:H25">SUM(C26:C30)</f>
        <v>2227.8</v>
      </c>
      <c r="D25" s="58">
        <f t="shared" si="11"/>
        <v>0</v>
      </c>
      <c r="E25" s="58">
        <f t="shared" si="11"/>
        <v>2227.8</v>
      </c>
      <c r="F25" s="58">
        <f t="shared" si="11"/>
        <v>2087.3</v>
      </c>
      <c r="G25" s="144">
        <f>SUM(G26:G30)</f>
        <v>112.39999999999999</v>
      </c>
      <c r="H25" s="58">
        <f t="shared" si="11"/>
        <v>301.8</v>
      </c>
      <c r="I25" s="59">
        <f t="shared" si="4"/>
        <v>0.13546997037436034</v>
      </c>
      <c r="J25" s="59">
        <f t="shared" si="5"/>
        <v>0.14458870310927993</v>
      </c>
      <c r="K25" s="144">
        <f>SUM(K26:K30)</f>
        <v>645.8</v>
      </c>
      <c r="L25" s="59">
        <f t="shared" si="1"/>
        <v>0.4673273459275318</v>
      </c>
      <c r="M25" s="144">
        <f>SUM(M26:M30)</f>
        <v>189.4</v>
      </c>
      <c r="N25" s="144">
        <f>SUM(N26:N30)</f>
        <v>271.90000000000003</v>
      </c>
      <c r="O25" s="59">
        <f t="shared" si="2"/>
        <v>0.6965796248620816</v>
      </c>
      <c r="P25" s="58">
        <f>SUM(P26:P30)</f>
        <v>646.8</v>
      </c>
      <c r="Q25" s="58">
        <f>SUM(Q26:Q30)</f>
        <v>636</v>
      </c>
      <c r="R25" s="58">
        <f>SUM(R26:R30)</f>
        <v>620</v>
      </c>
    </row>
    <row r="26" spans="1:18" ht="18.75">
      <c r="A26" s="8" t="s">
        <v>20</v>
      </c>
      <c r="B26" s="8">
        <v>1110105005</v>
      </c>
      <c r="C26" s="60"/>
      <c r="D26" s="61"/>
      <c r="E26" s="61">
        <f aca="true" t="shared" si="12" ref="E26:E31">C26+D26</f>
        <v>0</v>
      </c>
      <c r="F26" s="61"/>
      <c r="G26" s="145"/>
      <c r="H26" s="61">
        <f aca="true" t="shared" si="13" ref="H26:H31">G26+M26</f>
        <v>0</v>
      </c>
      <c r="I26" s="62">
        <f t="shared" si="4"/>
        <v>0</v>
      </c>
      <c r="J26" s="62">
        <f t="shared" si="5"/>
        <v>0</v>
      </c>
      <c r="K26" s="145"/>
      <c r="L26" s="62">
        <f t="shared" si="1"/>
        <v>0</v>
      </c>
      <c r="M26" s="145"/>
      <c r="N26" s="145"/>
      <c r="O26" s="62">
        <f t="shared" si="2"/>
        <v>0</v>
      </c>
      <c r="P26" s="61"/>
      <c r="Q26" s="61"/>
      <c r="R26" s="61"/>
    </row>
    <row r="27" spans="1:18" ht="18.75">
      <c r="A27" s="8" t="s">
        <v>60</v>
      </c>
      <c r="B27" s="8">
        <v>1110501300</v>
      </c>
      <c r="C27" s="60">
        <v>1490</v>
      </c>
      <c r="D27" s="61"/>
      <c r="E27" s="61">
        <f t="shared" si="12"/>
        <v>1490</v>
      </c>
      <c r="F27" s="61">
        <f>60+420+420</f>
        <v>900</v>
      </c>
      <c r="G27" s="145">
        <v>64.5</v>
      </c>
      <c r="H27" s="61">
        <f t="shared" si="13"/>
        <v>90.8</v>
      </c>
      <c r="I27" s="62">
        <f t="shared" si="4"/>
        <v>0.06093959731543624</v>
      </c>
      <c r="J27" s="62">
        <f t="shared" si="5"/>
        <v>0.10088888888888889</v>
      </c>
      <c r="K27" s="145">
        <v>324.1</v>
      </c>
      <c r="L27" s="62">
        <f t="shared" si="1"/>
        <v>0.2801604443073125</v>
      </c>
      <c r="M27" s="145">
        <v>26.3</v>
      </c>
      <c r="N27" s="145">
        <v>119.4</v>
      </c>
      <c r="O27" s="62">
        <f t="shared" si="2"/>
        <v>0.2202680067001675</v>
      </c>
      <c r="P27" s="61">
        <f>246.4+400.4</f>
        <v>646.8</v>
      </c>
      <c r="Q27" s="61">
        <f>370.2+204.4</f>
        <v>574.6</v>
      </c>
      <c r="R27" s="61">
        <f>370.3+188.3</f>
        <v>558.6</v>
      </c>
    </row>
    <row r="28" spans="1:18" ht="18.75">
      <c r="A28" s="8" t="s">
        <v>61</v>
      </c>
      <c r="B28" s="8">
        <v>1110502505</v>
      </c>
      <c r="C28" s="60">
        <v>12.2</v>
      </c>
      <c r="D28" s="61"/>
      <c r="E28" s="61">
        <f t="shared" si="12"/>
        <v>12.2</v>
      </c>
      <c r="F28" s="61"/>
      <c r="G28" s="145"/>
      <c r="H28" s="61">
        <f t="shared" si="13"/>
        <v>0</v>
      </c>
      <c r="I28" s="62">
        <f t="shared" si="4"/>
        <v>0</v>
      </c>
      <c r="J28" s="62">
        <f t="shared" si="5"/>
        <v>0</v>
      </c>
      <c r="K28" s="145"/>
      <c r="L28" s="62">
        <f t="shared" si="1"/>
        <v>0</v>
      </c>
      <c r="M28" s="145"/>
      <c r="N28" s="145"/>
      <c r="O28" s="62">
        <f t="shared" si="2"/>
        <v>0</v>
      </c>
      <c r="P28" s="61"/>
      <c r="Q28" s="61"/>
      <c r="R28" s="61"/>
    </row>
    <row r="29" spans="1:18" ht="18.75">
      <c r="A29" s="8" t="s">
        <v>62</v>
      </c>
      <c r="B29" s="8">
        <v>1110503505</v>
      </c>
      <c r="C29" s="60">
        <v>725.6</v>
      </c>
      <c r="D29" s="61"/>
      <c r="E29" s="61">
        <f t="shared" si="12"/>
        <v>725.6</v>
      </c>
      <c r="F29" s="61">
        <f>250+140+365+165.3+267</f>
        <v>1187.3</v>
      </c>
      <c r="G29" s="145">
        <v>45.8</v>
      </c>
      <c r="H29" s="61">
        <f t="shared" si="13"/>
        <v>208.89999999999998</v>
      </c>
      <c r="I29" s="62">
        <f t="shared" si="4"/>
        <v>0.28789966923925026</v>
      </c>
      <c r="J29" s="62">
        <f t="shared" si="5"/>
        <v>0.1759454223869283</v>
      </c>
      <c r="K29" s="145">
        <v>316.9</v>
      </c>
      <c r="L29" s="62">
        <f t="shared" si="1"/>
        <v>0.6591984853266014</v>
      </c>
      <c r="M29" s="145">
        <v>163.1</v>
      </c>
      <c r="N29" s="145">
        <v>147.7</v>
      </c>
      <c r="O29" s="62">
        <f t="shared" si="2"/>
        <v>1.1042654028436019</v>
      </c>
      <c r="P29" s="61"/>
      <c r="Q29" s="61">
        <v>61.4</v>
      </c>
      <c r="R29" s="61">
        <v>61.4</v>
      </c>
    </row>
    <row r="30" spans="1:18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45">
        <v>2.1</v>
      </c>
      <c r="H30" s="61">
        <f t="shared" si="13"/>
        <v>2.1</v>
      </c>
      <c r="I30" s="62">
        <f t="shared" si="4"/>
        <v>0</v>
      </c>
      <c r="J30" s="62">
        <f t="shared" si="5"/>
        <v>0</v>
      </c>
      <c r="K30" s="145">
        <v>4.8</v>
      </c>
      <c r="L30" s="62">
        <f t="shared" si="1"/>
        <v>0.43750000000000006</v>
      </c>
      <c r="M30" s="145"/>
      <c r="N30" s="145">
        <v>4.8</v>
      </c>
      <c r="O30" s="62">
        <f t="shared" si="2"/>
        <v>0</v>
      </c>
      <c r="P30" s="61"/>
      <c r="Q30" s="61"/>
      <c r="R30" s="61"/>
    </row>
    <row r="31" spans="1:18" ht="18.75">
      <c r="A31" s="44" t="s">
        <v>67</v>
      </c>
      <c r="B31" s="38">
        <v>1120100000</v>
      </c>
      <c r="C31" s="58">
        <v>29.9</v>
      </c>
      <c r="D31" s="63"/>
      <c r="E31" s="63">
        <f t="shared" si="12"/>
        <v>29.9</v>
      </c>
      <c r="F31" s="63">
        <f>30+30+15</f>
        <v>75</v>
      </c>
      <c r="G31" s="146">
        <v>1.2</v>
      </c>
      <c r="H31" s="63">
        <f t="shared" si="13"/>
        <v>16.5</v>
      </c>
      <c r="I31" s="59">
        <f t="shared" si="4"/>
        <v>0.5518394648829432</v>
      </c>
      <c r="J31" s="59">
        <f t="shared" si="5"/>
        <v>0.22</v>
      </c>
      <c r="K31" s="146">
        <v>65.2</v>
      </c>
      <c r="L31" s="59">
        <f t="shared" si="1"/>
        <v>0.25306748466257667</v>
      </c>
      <c r="M31" s="146">
        <v>15.3</v>
      </c>
      <c r="N31" s="146">
        <v>38.2</v>
      </c>
      <c r="O31" s="59">
        <f t="shared" si="2"/>
        <v>0.4005235602094241</v>
      </c>
      <c r="P31" s="63"/>
      <c r="Q31" s="63"/>
      <c r="R31" s="63"/>
    </row>
    <row r="32" spans="1:18" ht="18.75">
      <c r="A32" s="44" t="s">
        <v>68</v>
      </c>
      <c r="B32" s="38">
        <v>1130000000</v>
      </c>
      <c r="C32" s="58">
        <f aca="true" t="shared" si="14" ref="C32:H32">SUM(C33:C35)</f>
        <v>8774.3</v>
      </c>
      <c r="D32" s="58">
        <f t="shared" si="14"/>
        <v>0</v>
      </c>
      <c r="E32" s="58">
        <f t="shared" si="14"/>
        <v>8774.3</v>
      </c>
      <c r="F32" s="58">
        <f t="shared" si="14"/>
        <v>5703.4</v>
      </c>
      <c r="G32" s="144">
        <f>SUM(G33:G35)</f>
        <v>1720.2</v>
      </c>
      <c r="H32" s="58">
        <f t="shared" si="14"/>
        <v>2671.6</v>
      </c>
      <c r="I32" s="59">
        <f t="shared" si="4"/>
        <v>0.3044801294690175</v>
      </c>
      <c r="J32" s="59">
        <f t="shared" si="5"/>
        <v>0.46842234456639903</v>
      </c>
      <c r="K32" s="144">
        <f>SUM(K33:K35)</f>
        <v>3456.1</v>
      </c>
      <c r="L32" s="59">
        <f t="shared" si="1"/>
        <v>0.7730100402187436</v>
      </c>
      <c r="M32" s="144">
        <f>SUM(M33:M35)</f>
        <v>951.4</v>
      </c>
      <c r="N32" s="144">
        <f>SUM(N33:N35)</f>
        <v>1477.3</v>
      </c>
      <c r="O32" s="59">
        <f t="shared" si="2"/>
        <v>0.6440127259189061</v>
      </c>
      <c r="P32" s="58">
        <f>SUM(P33:P35)</f>
        <v>0</v>
      </c>
      <c r="Q32" s="58">
        <f>SUM(Q33:Q35)</f>
        <v>0</v>
      </c>
      <c r="R32" s="58">
        <f>SUM(R33:R35)</f>
        <v>0</v>
      </c>
    </row>
    <row r="33" spans="1:18" ht="18.75">
      <c r="A33" s="45" t="s">
        <v>35</v>
      </c>
      <c r="B33" s="45">
        <v>1130199505</v>
      </c>
      <c r="C33" s="60">
        <v>8001.3</v>
      </c>
      <c r="D33" s="61"/>
      <c r="E33" s="61">
        <f>C33+D33</f>
        <v>8001.3</v>
      </c>
      <c r="F33" s="61">
        <f>1963.4+1945+1295</f>
        <v>5203.4</v>
      </c>
      <c r="G33" s="145">
        <v>1491.9</v>
      </c>
      <c r="H33" s="61">
        <f>G33+M33</f>
        <v>2235.9</v>
      </c>
      <c r="I33" s="62">
        <f t="shared" si="4"/>
        <v>0.2794420906602677</v>
      </c>
      <c r="J33" s="62">
        <f t="shared" si="5"/>
        <v>0.4296998116616059</v>
      </c>
      <c r="K33" s="145">
        <v>3074.7</v>
      </c>
      <c r="L33" s="62">
        <f t="shared" si="1"/>
        <v>0.7271928968679872</v>
      </c>
      <c r="M33" s="145">
        <v>744</v>
      </c>
      <c r="N33" s="145">
        <v>1223.7</v>
      </c>
      <c r="O33" s="62">
        <f t="shared" si="2"/>
        <v>0.6079921549399362</v>
      </c>
      <c r="P33" s="61"/>
      <c r="Q33" s="61"/>
      <c r="R33" s="61"/>
    </row>
    <row r="34" spans="1:18" ht="18.75">
      <c r="A34" s="45" t="s">
        <v>36</v>
      </c>
      <c r="B34" s="45">
        <v>1130206505</v>
      </c>
      <c r="C34" s="60">
        <v>773</v>
      </c>
      <c r="D34" s="61"/>
      <c r="E34" s="61">
        <f>C34+D34</f>
        <v>773</v>
      </c>
      <c r="F34" s="61">
        <f>240+165+95</f>
        <v>500</v>
      </c>
      <c r="G34" s="145">
        <v>59.6</v>
      </c>
      <c r="H34" s="61">
        <f>G34+M34</f>
        <v>134.6</v>
      </c>
      <c r="I34" s="62">
        <f t="shared" si="4"/>
        <v>0.1741267787839586</v>
      </c>
      <c r="J34" s="62">
        <f t="shared" si="5"/>
        <v>0.2692</v>
      </c>
      <c r="K34" s="145">
        <v>152.9</v>
      </c>
      <c r="L34" s="62">
        <f t="shared" si="1"/>
        <v>0.8803139306736428</v>
      </c>
      <c r="M34" s="145">
        <v>75</v>
      </c>
      <c r="N34" s="145">
        <v>90.1</v>
      </c>
      <c r="O34" s="62">
        <f t="shared" si="2"/>
        <v>0.8324084350721421</v>
      </c>
      <c r="P34" s="61"/>
      <c r="Q34" s="61"/>
      <c r="R34" s="61"/>
    </row>
    <row r="35" spans="1:18" ht="18.75">
      <c r="A35" s="45" t="s">
        <v>64</v>
      </c>
      <c r="B35" s="45">
        <v>1130299505</v>
      </c>
      <c r="C35" s="60"/>
      <c r="D35" s="61"/>
      <c r="E35" s="61">
        <f>C35+D35</f>
        <v>0</v>
      </c>
      <c r="F35" s="61"/>
      <c r="G35" s="145">
        <v>168.7</v>
      </c>
      <c r="H35" s="61">
        <f>G35+M35</f>
        <v>301.1</v>
      </c>
      <c r="I35" s="62">
        <f t="shared" si="4"/>
        <v>0</v>
      </c>
      <c r="J35" s="62">
        <f t="shared" si="5"/>
        <v>0</v>
      </c>
      <c r="K35" s="145">
        <v>228.5</v>
      </c>
      <c r="L35" s="62">
        <f t="shared" si="1"/>
        <v>1.3177242888402627</v>
      </c>
      <c r="M35" s="145">
        <v>132.4</v>
      </c>
      <c r="N35" s="145">
        <v>163.5</v>
      </c>
      <c r="O35" s="62">
        <f t="shared" si="2"/>
        <v>0.8097859327217126</v>
      </c>
      <c r="P35" s="61"/>
      <c r="Q35" s="61"/>
      <c r="R35" s="61"/>
    </row>
    <row r="36" spans="1:18" ht="18.75">
      <c r="A36" s="44" t="s">
        <v>69</v>
      </c>
      <c r="B36" s="38">
        <v>1140000000</v>
      </c>
      <c r="C36" s="58">
        <f aca="true" t="shared" si="15" ref="C36:H36">SUM(C37:C38)</f>
        <v>25</v>
      </c>
      <c r="D36" s="58">
        <f t="shared" si="15"/>
        <v>0</v>
      </c>
      <c r="E36" s="58">
        <f t="shared" si="15"/>
        <v>25</v>
      </c>
      <c r="F36" s="58">
        <f t="shared" si="15"/>
        <v>0</v>
      </c>
      <c r="G36" s="144">
        <f>SUM(G37:G38)</f>
        <v>0.3</v>
      </c>
      <c r="H36" s="58">
        <f t="shared" si="15"/>
        <v>8.5</v>
      </c>
      <c r="I36" s="59">
        <f t="shared" si="4"/>
        <v>0.34</v>
      </c>
      <c r="J36" s="59">
        <f t="shared" si="5"/>
        <v>0</v>
      </c>
      <c r="K36" s="144">
        <f>SUM(K37:K38)</f>
        <v>2.7</v>
      </c>
      <c r="L36" s="59">
        <f t="shared" si="1"/>
        <v>3.148148148148148</v>
      </c>
      <c r="M36" s="144">
        <f>M37+M38</f>
        <v>8.2</v>
      </c>
      <c r="N36" s="144">
        <f>SUM(N37:N38)</f>
        <v>2.7</v>
      </c>
      <c r="O36" s="59">
        <f>IF(N36&gt;0,M36/N36,0)</f>
        <v>3.0370370370370368</v>
      </c>
      <c r="P36" s="58">
        <f>SUM(P37:P38)</f>
        <v>0</v>
      </c>
      <c r="Q36" s="58">
        <f>SUM(Q37:Q38)</f>
        <v>0</v>
      </c>
      <c r="R36" s="58">
        <f>SUM(R37:R38)</f>
        <v>0</v>
      </c>
    </row>
    <row r="37" spans="1:18" ht="18.75">
      <c r="A37" s="8" t="s">
        <v>31</v>
      </c>
      <c r="B37" s="8">
        <v>1140205205</v>
      </c>
      <c r="C37" s="60"/>
      <c r="D37" s="61"/>
      <c r="E37" s="61">
        <f>C37+D37</f>
        <v>0</v>
      </c>
      <c r="F37" s="61"/>
      <c r="G37" s="145"/>
      <c r="H37" s="61">
        <f>G37+M37</f>
        <v>0</v>
      </c>
      <c r="I37" s="62">
        <f t="shared" si="4"/>
        <v>0</v>
      </c>
      <c r="J37" s="62">
        <f t="shared" si="5"/>
        <v>0</v>
      </c>
      <c r="K37" s="145"/>
      <c r="L37" s="62">
        <f t="shared" si="1"/>
        <v>0</v>
      </c>
      <c r="M37" s="145"/>
      <c r="N37" s="145"/>
      <c r="O37" s="62">
        <f>IF(N37&gt;0,M37/N37,0)</f>
        <v>0</v>
      </c>
      <c r="P37" s="61"/>
      <c r="Q37" s="61"/>
      <c r="R37" s="61"/>
    </row>
    <row r="38" spans="1:18" ht="18.75">
      <c r="A38" s="8" t="s">
        <v>32</v>
      </c>
      <c r="B38" s="8">
        <v>1140600000</v>
      </c>
      <c r="C38" s="60">
        <v>25</v>
      </c>
      <c r="D38" s="61"/>
      <c r="E38" s="61">
        <f>C38+D38</f>
        <v>25</v>
      </c>
      <c r="F38" s="61"/>
      <c r="G38" s="145">
        <v>0.3</v>
      </c>
      <c r="H38" s="61">
        <f>G38+M38</f>
        <v>8.5</v>
      </c>
      <c r="I38" s="62">
        <f t="shared" si="4"/>
        <v>0.34</v>
      </c>
      <c r="J38" s="62">
        <f t="shared" si="5"/>
        <v>0</v>
      </c>
      <c r="K38" s="145">
        <v>2.7</v>
      </c>
      <c r="L38" s="62">
        <f t="shared" si="1"/>
        <v>3.148148148148148</v>
      </c>
      <c r="M38" s="145">
        <v>8.2</v>
      </c>
      <c r="N38" s="145">
        <v>2.7</v>
      </c>
      <c r="O38" s="62">
        <f t="shared" si="2"/>
        <v>3.0370370370370368</v>
      </c>
      <c r="P38" s="61"/>
      <c r="Q38" s="61"/>
      <c r="R38" s="61"/>
    </row>
    <row r="39" spans="1:18" ht="18.75">
      <c r="A39" s="44" t="s">
        <v>70</v>
      </c>
      <c r="B39" s="38">
        <v>1160000000</v>
      </c>
      <c r="C39" s="58">
        <v>155.6</v>
      </c>
      <c r="D39" s="63"/>
      <c r="E39" s="63">
        <f>C39+D39</f>
        <v>155.6</v>
      </c>
      <c r="F39" s="63">
        <f>38+45</f>
        <v>83</v>
      </c>
      <c r="G39" s="146">
        <v>4091.4</v>
      </c>
      <c r="H39" s="63">
        <f>G39+M39</f>
        <v>4141.5</v>
      </c>
      <c r="I39" s="59">
        <f t="shared" si="4"/>
        <v>26.616323907455016</v>
      </c>
      <c r="J39" s="59">
        <f t="shared" si="5"/>
        <v>49.897590361445786</v>
      </c>
      <c r="K39" s="146">
        <v>121.8</v>
      </c>
      <c r="L39" s="59">
        <f t="shared" si="1"/>
        <v>34.002463054187196</v>
      </c>
      <c r="M39" s="146">
        <v>50.1</v>
      </c>
      <c r="N39" s="146">
        <v>16.8</v>
      </c>
      <c r="O39" s="59">
        <f t="shared" si="2"/>
        <v>2.982142857142857</v>
      </c>
      <c r="P39" s="63"/>
      <c r="Q39" s="63"/>
      <c r="R39" s="63"/>
    </row>
    <row r="40" spans="1:18" ht="18.75">
      <c r="A40" s="44" t="s">
        <v>71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4.2</v>
      </c>
      <c r="H40" s="58">
        <f t="shared" si="16"/>
        <v>0</v>
      </c>
      <c r="I40" s="59">
        <f t="shared" si="4"/>
        <v>0</v>
      </c>
      <c r="J40" s="59">
        <f t="shared" si="5"/>
        <v>0</v>
      </c>
      <c r="K40" s="58">
        <f>SUM(K41:K42)</f>
        <v>-1.6</v>
      </c>
      <c r="L40" s="59">
        <f t="shared" si="1"/>
        <v>0</v>
      </c>
      <c r="M40" s="58">
        <f>SUM(M41:M42)</f>
        <v>-4.2</v>
      </c>
      <c r="N40" s="58">
        <f>SUM(N41:N42)</f>
        <v>0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</row>
    <row r="41" spans="1:18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45">
        <v>4.2</v>
      </c>
      <c r="H41" s="61">
        <f>G41+M41</f>
        <v>0</v>
      </c>
      <c r="I41" s="62">
        <f t="shared" si="4"/>
        <v>0</v>
      </c>
      <c r="J41" s="62">
        <f t="shared" si="5"/>
        <v>0</v>
      </c>
      <c r="K41" s="145">
        <v>-1.6</v>
      </c>
      <c r="L41" s="62">
        <f t="shared" si="1"/>
        <v>0</v>
      </c>
      <c r="M41" s="145">
        <v>-4.2</v>
      </c>
      <c r="N41" s="145"/>
      <c r="O41" s="62">
        <f t="shared" si="2"/>
        <v>0</v>
      </c>
      <c r="P41" s="61"/>
      <c r="Q41" s="61"/>
      <c r="R41" s="61"/>
    </row>
    <row r="42" spans="1:18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45"/>
      <c r="H42" s="61">
        <f>G42+M42</f>
        <v>0</v>
      </c>
      <c r="I42" s="62">
        <f t="shared" si="4"/>
        <v>0</v>
      </c>
      <c r="J42" s="62">
        <f t="shared" si="5"/>
        <v>0</v>
      </c>
      <c r="K42" s="145"/>
      <c r="L42" s="62">
        <f t="shared" si="1"/>
        <v>0</v>
      </c>
      <c r="M42" s="145"/>
      <c r="N42" s="145"/>
      <c r="O42" s="62">
        <f t="shared" si="2"/>
        <v>0</v>
      </c>
      <c r="P42" s="61"/>
      <c r="Q42" s="61"/>
      <c r="R42" s="61"/>
    </row>
    <row r="43" spans="1:18" ht="18.75" customHeight="1">
      <c r="A43" s="43" t="s">
        <v>91</v>
      </c>
      <c r="B43" s="43">
        <v>1000000000</v>
      </c>
      <c r="C43" s="64">
        <f aca="true" t="shared" si="17" ref="C43:H43">C4+C24</f>
        <v>64478.2</v>
      </c>
      <c r="D43" s="64">
        <f t="shared" si="17"/>
        <v>0</v>
      </c>
      <c r="E43" s="64">
        <f t="shared" si="17"/>
        <v>64478.2</v>
      </c>
      <c r="F43" s="56">
        <f t="shared" si="17"/>
        <v>36238.6</v>
      </c>
      <c r="G43" s="56">
        <f>G4+G24</f>
        <v>11176.3</v>
      </c>
      <c r="H43" s="123">
        <f t="shared" si="17"/>
        <v>18416.1</v>
      </c>
      <c r="I43" s="57">
        <f t="shared" si="4"/>
        <v>0.2856174645073839</v>
      </c>
      <c r="J43" s="57">
        <f t="shared" si="5"/>
        <v>0.5081901618715955</v>
      </c>
      <c r="K43" s="56">
        <f>K4+K24</f>
        <v>14865.800000000001</v>
      </c>
      <c r="L43" s="57">
        <f t="shared" si="1"/>
        <v>1.238823339477189</v>
      </c>
      <c r="M43" s="56">
        <f>M4+M24</f>
        <v>7239.8</v>
      </c>
      <c r="N43" s="56">
        <f>N4+N24</f>
        <v>7588.200000000001</v>
      </c>
      <c r="O43" s="57">
        <f t="shared" si="2"/>
        <v>0.9540866081547665</v>
      </c>
      <c r="P43" s="56">
        <f>P4+P24</f>
        <v>998.6999999999999</v>
      </c>
      <c r="Q43" s="56">
        <f>Q4+Q24</f>
        <v>1081.9</v>
      </c>
      <c r="R43" s="56">
        <f>R4+R24</f>
        <v>1767.4</v>
      </c>
    </row>
    <row r="44" spans="1:18" ht="18.75" customHeight="1">
      <c r="A44" s="43" t="s">
        <v>93</v>
      </c>
      <c r="B44" s="43"/>
      <c r="C44" s="64">
        <f>C43-C10</f>
        <v>58045.799999999996</v>
      </c>
      <c r="D44" s="64">
        <f>D43-D10</f>
        <v>0</v>
      </c>
      <c r="E44" s="64">
        <f>C44+D44</f>
        <v>58045.799999999996</v>
      </c>
      <c r="F44" s="56">
        <f>F43-F10-1728.4-1750</f>
        <v>27995.199999999997</v>
      </c>
      <c r="G44" s="56">
        <f>G43-G10-1220.8</f>
        <v>9235.9</v>
      </c>
      <c r="H44" s="123">
        <f>G44+M44</f>
        <v>15030.7</v>
      </c>
      <c r="I44" s="57">
        <f>IF(E44&gt;0,H44/E44,0)</f>
        <v>0.2589455223289196</v>
      </c>
      <c r="J44" s="57">
        <f>IF(F44&gt;0,H44/F44,0)</f>
        <v>0.5369027547579586</v>
      </c>
      <c r="K44" s="56">
        <f>K43-K10-2758.9</f>
        <v>10600.900000000001</v>
      </c>
      <c r="L44" s="57">
        <f t="shared" si="1"/>
        <v>1.4178701808337026</v>
      </c>
      <c r="M44" s="56">
        <f>M43-M10-624.2</f>
        <v>5794.8</v>
      </c>
      <c r="N44" s="56">
        <f>N43-N10-1107.5</f>
        <v>5528.900000000001</v>
      </c>
      <c r="O44" s="57">
        <f t="shared" si="2"/>
        <v>1.0480927490097487</v>
      </c>
      <c r="P44" s="56"/>
      <c r="Q44" s="56"/>
      <c r="R44" s="56"/>
    </row>
    <row r="45" spans="1:18" ht="18.75">
      <c r="A45" s="8" t="s">
        <v>37</v>
      </c>
      <c r="B45" s="8">
        <v>2000000000</v>
      </c>
      <c r="C45" s="60">
        <v>158603.98</v>
      </c>
      <c r="D45" s="137"/>
      <c r="E45" s="61">
        <f>C45+D45</f>
        <v>158603.98</v>
      </c>
      <c r="F45" s="61">
        <f>34850.65+571.1+470.1+38803.34</f>
        <v>74695.19</v>
      </c>
      <c r="G45" s="61">
        <v>29204.7</v>
      </c>
      <c r="H45" s="61">
        <f>G45+M45</f>
        <v>43924.2</v>
      </c>
      <c r="I45" s="62">
        <f t="shared" si="4"/>
        <v>0.27694260888030675</v>
      </c>
      <c r="J45" s="62">
        <f t="shared" si="5"/>
        <v>0.5880458969312481</v>
      </c>
      <c r="K45" s="61">
        <v>45283.4</v>
      </c>
      <c r="L45" s="62">
        <f t="shared" si="1"/>
        <v>0.969984585963068</v>
      </c>
      <c r="M45" s="61">
        <v>14719.5</v>
      </c>
      <c r="N45" s="61">
        <v>19064.8</v>
      </c>
      <c r="O45" s="62">
        <f t="shared" si="2"/>
        <v>0.7720773362427091</v>
      </c>
      <c r="P45" s="61"/>
      <c r="Q45" s="61"/>
      <c r="R45" s="61"/>
    </row>
    <row r="46" spans="1:18" ht="18.75">
      <c r="A46" s="8" t="s">
        <v>48</v>
      </c>
      <c r="B46" s="46" t="s">
        <v>38</v>
      </c>
      <c r="C46" s="60">
        <v>300</v>
      </c>
      <c r="D46" s="61"/>
      <c r="E46" s="61">
        <f>C46+D46</f>
        <v>300</v>
      </c>
      <c r="F46" s="61"/>
      <c r="G46" s="61">
        <v>265.1</v>
      </c>
      <c r="H46" s="61">
        <f>G46+M46</f>
        <v>521.8</v>
      </c>
      <c r="I46" s="62">
        <f t="shared" si="4"/>
        <v>1.7393333333333332</v>
      </c>
      <c r="J46" s="62">
        <f t="shared" si="5"/>
        <v>0</v>
      </c>
      <c r="K46" s="61">
        <v>737.8</v>
      </c>
      <c r="L46" s="62">
        <f t="shared" si="1"/>
        <v>0.7072377338031987</v>
      </c>
      <c r="M46" s="61">
        <v>256.7</v>
      </c>
      <c r="N46" s="61">
        <v>706.3</v>
      </c>
      <c r="O46" s="62">
        <f t="shared" si="2"/>
        <v>0.36344329604983716</v>
      </c>
      <c r="P46" s="61"/>
      <c r="Q46" s="61"/>
      <c r="R46" s="61"/>
    </row>
    <row r="47" spans="1:18" ht="18.75">
      <c r="A47" s="8" t="s">
        <v>111</v>
      </c>
      <c r="B47" s="46" t="s">
        <v>112</v>
      </c>
      <c r="C47" s="60"/>
      <c r="D47" s="61"/>
      <c r="E47" s="61"/>
      <c r="F47" s="61"/>
      <c r="G47" s="61"/>
      <c r="H47" s="61">
        <f>G47+M47</f>
        <v>0</v>
      </c>
      <c r="I47" s="62"/>
      <c r="J47" s="62"/>
      <c r="K47" s="61">
        <v>657.5</v>
      </c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95</v>
      </c>
      <c r="B48" s="46" t="s">
        <v>113</v>
      </c>
      <c r="C48" s="60"/>
      <c r="D48" s="61"/>
      <c r="E48" s="61"/>
      <c r="F48" s="61"/>
      <c r="G48" s="61">
        <v>-155.6</v>
      </c>
      <c r="H48" s="61">
        <f>G48+M48</f>
        <v>-212.89999999999998</v>
      </c>
      <c r="I48" s="62"/>
      <c r="J48" s="62"/>
      <c r="K48" s="61">
        <v>-750.1</v>
      </c>
      <c r="L48" s="62">
        <f t="shared" si="1"/>
        <v>0</v>
      </c>
      <c r="M48" s="61">
        <v>-57.3</v>
      </c>
      <c r="N48" s="61">
        <v>-78</v>
      </c>
      <c r="O48" s="62">
        <f t="shared" si="2"/>
        <v>0</v>
      </c>
      <c r="P48" s="61"/>
      <c r="Q48" s="61"/>
      <c r="R48" s="61"/>
    </row>
    <row r="49" spans="1:18" ht="18.75">
      <c r="A49" s="43" t="s">
        <v>2</v>
      </c>
      <c r="B49" s="43">
        <v>0</v>
      </c>
      <c r="C49" s="65">
        <f>C43+C45+C46</f>
        <v>223382.18</v>
      </c>
      <c r="D49" s="65">
        <f>D43+D45+D46</f>
        <v>0</v>
      </c>
      <c r="E49" s="64">
        <f>E43+E45+E46</f>
        <v>223382.18</v>
      </c>
      <c r="F49" s="123">
        <f>F43+F45+F46</f>
        <v>110933.79000000001</v>
      </c>
      <c r="G49" s="123">
        <f>G43+G45+G46+G48+G47</f>
        <v>40490.5</v>
      </c>
      <c r="H49" s="123">
        <f>H43+H45+H46+H48+H47</f>
        <v>62649.2</v>
      </c>
      <c r="I49" s="57">
        <f t="shared" si="4"/>
        <v>0.2804574653179587</v>
      </c>
      <c r="J49" s="57">
        <f t="shared" si="5"/>
        <v>0.5647440694129353</v>
      </c>
      <c r="K49" s="123">
        <f>K43+K45+K46+K48+K47</f>
        <v>60794.40000000001</v>
      </c>
      <c r="L49" s="57">
        <f t="shared" si="1"/>
        <v>1.0305093890226729</v>
      </c>
      <c r="M49" s="123">
        <f>M43+M45+M46+M48+M47</f>
        <v>22158.7</v>
      </c>
      <c r="N49" s="123">
        <f>N43+N45+N46+N48+N47</f>
        <v>27281.3</v>
      </c>
      <c r="O49" s="57">
        <f t="shared" si="2"/>
        <v>0.8122303555915591</v>
      </c>
      <c r="P49" s="56">
        <f>P43+P45+P46</f>
        <v>998.6999999999999</v>
      </c>
      <c r="Q49" s="56">
        <f>Q43+Q45+Q46</f>
        <v>1081.9</v>
      </c>
      <c r="R49" s="56">
        <f>R43+R45+R46</f>
        <v>1767.4</v>
      </c>
    </row>
    <row r="50" spans="1:3" ht="19.5" customHeight="1">
      <c r="A50" s="3"/>
      <c r="B50" s="3"/>
      <c r="C50" s="3"/>
    </row>
    <row r="51" spans="1:7" ht="20.25">
      <c r="A51" s="3"/>
      <c r="B51" s="3"/>
      <c r="C51" s="3"/>
      <c r="E51" s="147"/>
      <c r="G51" s="138"/>
    </row>
    <row r="52" spans="1:3" ht="12.75">
      <c r="A52" s="3"/>
      <c r="B52" s="3"/>
      <c r="C52" s="3"/>
    </row>
    <row r="53" spans="1:8" ht="12.75">
      <c r="A53" s="3"/>
      <c r="B53" s="3"/>
      <c r="C53" s="3"/>
      <c r="H53" s="147"/>
    </row>
  </sheetData>
  <sheetProtection/>
  <mergeCells count="14">
    <mergeCell ref="E2:E3"/>
    <mergeCell ref="F2:F3"/>
    <mergeCell ref="G2:G3"/>
    <mergeCell ref="H2:J2"/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875" style="0" customWidth="1"/>
    <col min="2" max="2" width="14.375" style="0" customWidth="1"/>
    <col min="3" max="3" width="14.25390625" style="0" customWidth="1"/>
    <col min="4" max="4" width="13.875" style="0" customWidth="1"/>
    <col min="5" max="5" width="15.25390625" style="0" customWidth="1"/>
    <col min="6" max="6" width="10.75390625" style="0" hidden="1" customWidth="1"/>
    <col min="7" max="7" width="11.875" style="0" customWidth="1"/>
    <col min="8" max="8" width="11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0.875" style="0" customWidth="1"/>
    <col min="14" max="14" width="10.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</cols>
  <sheetData>
    <row r="1" spans="1:18" ht="15.75">
      <c r="A1" s="26"/>
      <c r="B1" s="48"/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50"/>
      <c r="P1" s="26"/>
      <c r="Q1" s="26"/>
      <c r="R1" s="26"/>
    </row>
    <row r="2" spans="1:18" ht="15.75">
      <c r="A2" s="26"/>
      <c r="B2" s="167" t="s">
        <v>125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3.5" customHeight="1" thickBot="1">
      <c r="A3" s="168" t="s">
        <v>3</v>
      </c>
      <c r="B3" s="170" t="s">
        <v>4</v>
      </c>
      <c r="C3" s="164" t="s">
        <v>114</v>
      </c>
      <c r="D3" s="164" t="s">
        <v>24</v>
      </c>
      <c r="E3" s="164" t="s">
        <v>115</v>
      </c>
      <c r="F3" s="164" t="s">
        <v>101</v>
      </c>
      <c r="G3" s="164" t="s">
        <v>118</v>
      </c>
      <c r="H3" s="164" t="s">
        <v>116</v>
      </c>
      <c r="I3" s="164"/>
      <c r="J3" s="164"/>
      <c r="K3" s="164" t="s">
        <v>108</v>
      </c>
      <c r="L3" s="164"/>
      <c r="M3" s="164" t="s">
        <v>121</v>
      </c>
      <c r="N3" s="164" t="s">
        <v>122</v>
      </c>
      <c r="O3" s="164" t="s">
        <v>30</v>
      </c>
      <c r="P3" s="164" t="s">
        <v>9</v>
      </c>
      <c r="Q3" s="164"/>
      <c r="R3" s="164"/>
    </row>
    <row r="4" spans="1:21" ht="111" customHeight="1" thickBot="1">
      <c r="A4" s="169"/>
      <c r="B4" s="171"/>
      <c r="C4" s="164"/>
      <c r="D4" s="164"/>
      <c r="E4" s="164"/>
      <c r="F4" s="164"/>
      <c r="G4" s="164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4"/>
      <c r="N4" s="164"/>
      <c r="O4" s="164"/>
      <c r="P4" s="124" t="s">
        <v>117</v>
      </c>
      <c r="Q4" s="124" t="s">
        <v>119</v>
      </c>
      <c r="R4" s="124" t="s">
        <v>123</v>
      </c>
      <c r="S4" s="1"/>
      <c r="T4" s="1"/>
      <c r="U4" s="2"/>
    </row>
    <row r="5" spans="1:21" ht="21.75" customHeight="1">
      <c r="A5" s="51" t="s">
        <v>21</v>
      </c>
      <c r="B5" s="52"/>
      <c r="C5" s="91">
        <f aca="true" t="shared" si="0" ref="C5:H5">C6+C15+C17+C22+C10</f>
        <v>6736.780000000001</v>
      </c>
      <c r="D5" s="91">
        <f t="shared" si="0"/>
        <v>0</v>
      </c>
      <c r="E5" s="91">
        <f t="shared" si="0"/>
        <v>6736.780000000001</v>
      </c>
      <c r="F5" s="91">
        <f t="shared" si="0"/>
        <v>0</v>
      </c>
      <c r="G5" s="91">
        <f t="shared" si="0"/>
        <v>989.0000000000001</v>
      </c>
      <c r="H5" s="91">
        <f t="shared" si="0"/>
        <v>1543</v>
      </c>
      <c r="I5" s="92">
        <f>IF(E5&gt;0,H5/E5,0)</f>
        <v>0.22904117397332255</v>
      </c>
      <c r="J5" s="92">
        <f>IF(F5&gt;0,H5/F5,0)</f>
        <v>0</v>
      </c>
      <c r="K5" s="91">
        <f>K6+K15+K17+K22+K10</f>
        <v>1454.4</v>
      </c>
      <c r="L5" s="92">
        <f aca="true" t="shared" si="1" ref="L5:L45">IF(K5&gt;0,H5/K5,0)</f>
        <v>1.060918591859186</v>
      </c>
      <c r="M5" s="91">
        <f>M6+M15+M17+M22+M10</f>
        <v>554</v>
      </c>
      <c r="N5" s="91">
        <f>N6+N15+N17+N22+N10</f>
        <v>561.6</v>
      </c>
      <c r="O5" s="92">
        <f aca="true" t="shared" si="2" ref="O5:O21">IF(N5&gt;0,M5/N5,0)</f>
        <v>0.9864672364672364</v>
      </c>
      <c r="P5" s="91">
        <f>P6+P15+P17+P22+P10</f>
        <v>2038.5000000000002</v>
      </c>
      <c r="Q5" s="91">
        <f>Q6+Q15+Q17+Q22+Q10</f>
        <v>1483.3000000000002</v>
      </c>
      <c r="R5" s="91">
        <f>R6+R15+R17+R22+R10</f>
        <v>1478.9</v>
      </c>
      <c r="S5" s="4"/>
      <c r="T5" s="4"/>
      <c r="U5" s="4"/>
    </row>
    <row r="6" spans="1:18" ht="18" customHeight="1">
      <c r="A6" s="9" t="s">
        <v>65</v>
      </c>
      <c r="B6" s="53">
        <v>1010200001</v>
      </c>
      <c r="C6" s="74">
        <f aca="true" t="shared" si="3" ref="C6:H6">C7+C8+C9</f>
        <v>4041.7000000000003</v>
      </c>
      <c r="D6" s="74">
        <f t="shared" si="3"/>
        <v>0</v>
      </c>
      <c r="E6" s="74">
        <f t="shared" si="3"/>
        <v>4041.7000000000003</v>
      </c>
      <c r="F6" s="74">
        <f t="shared" si="3"/>
        <v>0</v>
      </c>
      <c r="G6" s="74">
        <f t="shared" si="3"/>
        <v>682.9000000000001</v>
      </c>
      <c r="H6" s="74">
        <f t="shared" si="3"/>
        <v>1080.4</v>
      </c>
      <c r="I6" s="89">
        <f aca="true" t="shared" si="4" ref="I6:I45">IF(E6&gt;0,H6/E6,0)</f>
        <v>0.2673132592720885</v>
      </c>
      <c r="J6" s="89">
        <f>IF(F6&gt;0,H6/F6,0)</f>
        <v>0</v>
      </c>
      <c r="K6" s="74">
        <f>K7+K8+K9</f>
        <v>960.1</v>
      </c>
      <c r="L6" s="89">
        <f t="shared" si="1"/>
        <v>1.1252994479741694</v>
      </c>
      <c r="M6" s="74">
        <f>M7+M8+M9</f>
        <v>397.50000000000006</v>
      </c>
      <c r="N6" s="74">
        <f>N7+N8+N9</f>
        <v>359.40000000000003</v>
      </c>
      <c r="O6" s="89">
        <f t="shared" si="2"/>
        <v>1.1060100166944908</v>
      </c>
      <c r="P6" s="74">
        <f>P7+P8+P9</f>
        <v>17.8</v>
      </c>
      <c r="Q6" s="74">
        <f>Q7+Q8+Q9</f>
        <v>12.400000000000002</v>
      </c>
      <c r="R6" s="74">
        <f>R7+R8+R9</f>
        <v>13.200000000000001</v>
      </c>
    </row>
    <row r="7" spans="1:18" ht="18">
      <c r="A7" s="10" t="s">
        <v>46</v>
      </c>
      <c r="B7" s="13">
        <v>1010201001</v>
      </c>
      <c r="C7" s="73">
        <v>4019.4</v>
      </c>
      <c r="D7" s="70"/>
      <c r="E7" s="73">
        <f>C7+D7</f>
        <v>4019.4</v>
      </c>
      <c r="F7" s="73"/>
      <c r="G7" s="70">
        <v>682.2</v>
      </c>
      <c r="H7" s="70">
        <f>G7+M7</f>
        <v>1079.3000000000002</v>
      </c>
      <c r="I7" s="79">
        <f t="shared" si="4"/>
        <v>0.26852266507438927</v>
      </c>
      <c r="J7" s="79">
        <f aca="true" t="shared" si="5" ref="J7:J45">IF(F7&gt;0,H7/F7,0)</f>
        <v>0</v>
      </c>
      <c r="K7" s="70">
        <v>960.1</v>
      </c>
      <c r="L7" s="79">
        <f t="shared" si="1"/>
        <v>1.1241537339860432</v>
      </c>
      <c r="M7" s="70">
        <v>397.1</v>
      </c>
      <c r="N7" s="70">
        <v>359.6</v>
      </c>
      <c r="O7" s="79">
        <f t="shared" si="2"/>
        <v>1.1042825361512791</v>
      </c>
      <c r="P7" s="73">
        <v>15.8</v>
      </c>
      <c r="Q7" s="73">
        <v>11.8</v>
      </c>
      <c r="R7" s="73">
        <v>12.9</v>
      </c>
    </row>
    <row r="8" spans="1:18" ht="18">
      <c r="A8" s="10" t="s">
        <v>45</v>
      </c>
      <c r="B8" s="13">
        <v>1010202001</v>
      </c>
      <c r="C8" s="73">
        <v>17.5</v>
      </c>
      <c r="D8" s="70"/>
      <c r="E8" s="73">
        <f>C8+D8</f>
        <v>17.5</v>
      </c>
      <c r="F8" s="73"/>
      <c r="G8" s="73"/>
      <c r="H8" s="70">
        <f>G8+M8</f>
        <v>0.3</v>
      </c>
      <c r="I8" s="79">
        <f t="shared" si="4"/>
        <v>0.017142857142857144</v>
      </c>
      <c r="J8" s="79">
        <f t="shared" si="5"/>
        <v>0</v>
      </c>
      <c r="K8" s="73"/>
      <c r="L8" s="79">
        <f t="shared" si="1"/>
        <v>0</v>
      </c>
      <c r="M8" s="73">
        <v>0.3</v>
      </c>
      <c r="N8" s="73"/>
      <c r="O8" s="79">
        <f>IF(N8&gt;0,M8/N8,0)</f>
        <v>0</v>
      </c>
      <c r="P8" s="73">
        <v>1.7</v>
      </c>
      <c r="Q8" s="73">
        <v>0.3</v>
      </c>
      <c r="R8" s="73"/>
    </row>
    <row r="9" spans="1:18" ht="18">
      <c r="A9" s="10" t="s">
        <v>43</v>
      </c>
      <c r="B9" s="13">
        <v>1010203001</v>
      </c>
      <c r="C9" s="73">
        <v>4.8</v>
      </c>
      <c r="D9" s="73"/>
      <c r="E9" s="73">
        <f>C9+D9</f>
        <v>4.8</v>
      </c>
      <c r="F9" s="73"/>
      <c r="G9" s="73">
        <v>0.7</v>
      </c>
      <c r="H9" s="70">
        <f>G9+M9</f>
        <v>0.7999999999999999</v>
      </c>
      <c r="I9" s="79">
        <f t="shared" si="4"/>
        <v>0.16666666666666666</v>
      </c>
      <c r="J9" s="79">
        <f t="shared" si="5"/>
        <v>0</v>
      </c>
      <c r="K9" s="73"/>
      <c r="L9" s="79">
        <f t="shared" si="1"/>
        <v>0</v>
      </c>
      <c r="M9" s="73">
        <v>0.1</v>
      </c>
      <c r="N9" s="73">
        <v>-0.2</v>
      </c>
      <c r="O9" s="79">
        <f t="shared" si="2"/>
        <v>0</v>
      </c>
      <c r="P9" s="73">
        <v>0.3</v>
      </c>
      <c r="Q9" s="73">
        <v>0.3</v>
      </c>
      <c r="R9" s="73">
        <v>0.3</v>
      </c>
    </row>
    <row r="10" spans="1:22" ht="20.25" customHeight="1">
      <c r="A10" s="11" t="s">
        <v>50</v>
      </c>
      <c r="B10" s="19">
        <v>1030200001</v>
      </c>
      <c r="C10" s="74">
        <f aca="true" t="shared" si="6" ref="C10:H10">SUM(C11:C14)</f>
        <v>1127.08</v>
      </c>
      <c r="D10" s="74">
        <f t="shared" si="6"/>
        <v>0</v>
      </c>
      <c r="E10" s="74">
        <f t="shared" si="6"/>
        <v>1127.08</v>
      </c>
      <c r="F10" s="74">
        <f t="shared" si="6"/>
        <v>0</v>
      </c>
      <c r="G10" s="74">
        <f>SUM(G11:G14)</f>
        <v>125.9</v>
      </c>
      <c r="H10" s="74">
        <f t="shared" si="6"/>
        <v>269.59999999999997</v>
      </c>
      <c r="I10" s="89">
        <f>IF(E10&gt;0,H10/E10,0)</f>
        <v>0.2392021861802179</v>
      </c>
      <c r="J10" s="89">
        <f>IF(F10&gt;0,H10/F10,0)</f>
        <v>0</v>
      </c>
      <c r="K10" s="74">
        <f>SUM(K11:K14)</f>
        <v>264.1</v>
      </c>
      <c r="L10" s="89">
        <f t="shared" si="1"/>
        <v>1.0208254449072318</v>
      </c>
      <c r="M10" s="74">
        <f>SUM(M11:M14)</f>
        <v>143.7</v>
      </c>
      <c r="N10" s="74">
        <f>SUM(N11:N14)</f>
        <v>167</v>
      </c>
      <c r="O10" s="89">
        <f t="shared" si="2"/>
        <v>0.8604790419161676</v>
      </c>
      <c r="P10" s="74">
        <f>SUM(P11:P14)</f>
        <v>0</v>
      </c>
      <c r="Q10" s="74">
        <f>SUM(Q11:Q14)</f>
        <v>0</v>
      </c>
      <c r="R10" s="74">
        <f>SUM(R11:R14)</f>
        <v>0</v>
      </c>
      <c r="V10">
        <v>1057</v>
      </c>
    </row>
    <row r="11" spans="1:18" ht="18.75" customHeight="1">
      <c r="A11" s="12" t="s">
        <v>51</v>
      </c>
      <c r="B11" s="12">
        <v>1030223001</v>
      </c>
      <c r="C11" s="73">
        <v>396.45</v>
      </c>
      <c r="D11" s="73"/>
      <c r="E11" s="69">
        <f>C11+D11</f>
        <v>396.45</v>
      </c>
      <c r="F11" s="69"/>
      <c r="G11" s="73">
        <v>52.7</v>
      </c>
      <c r="H11" s="71">
        <f>G11+M11</f>
        <v>111.1</v>
      </c>
      <c r="I11" s="72">
        <f>IF(E11&gt;0,H11/E11,0)</f>
        <v>0.28023710430066845</v>
      </c>
      <c r="J11" s="72">
        <f>IF(F11&gt;0,H11/F11,0)</f>
        <v>0</v>
      </c>
      <c r="K11" s="73">
        <v>98.2</v>
      </c>
      <c r="L11" s="72">
        <f t="shared" si="1"/>
        <v>1.131364562118126</v>
      </c>
      <c r="M11" s="73">
        <v>58.4</v>
      </c>
      <c r="N11" s="73">
        <v>63.8</v>
      </c>
      <c r="O11" s="72">
        <f t="shared" si="2"/>
        <v>0.9153605015673981</v>
      </c>
      <c r="P11" s="73"/>
      <c r="Q11" s="73"/>
      <c r="R11" s="73"/>
    </row>
    <row r="12" spans="1:18" ht="18" customHeight="1">
      <c r="A12" s="12" t="s">
        <v>52</v>
      </c>
      <c r="B12" s="12">
        <v>1030224001</v>
      </c>
      <c r="C12" s="73">
        <v>3.26</v>
      </c>
      <c r="D12" s="73"/>
      <c r="E12" s="69">
        <f>C12+D12</f>
        <v>3.26</v>
      </c>
      <c r="F12" s="69"/>
      <c r="G12" s="73">
        <v>0.2</v>
      </c>
      <c r="H12" s="71">
        <f>G12+M12</f>
        <v>0.7</v>
      </c>
      <c r="I12" s="72">
        <f>IF(E12&gt;0,H12/E12,0)</f>
        <v>0.2147239263803681</v>
      </c>
      <c r="J12" s="72">
        <f>IF(F12&gt;0,H12/F12,0)</f>
        <v>0</v>
      </c>
      <c r="K12" s="73">
        <v>1</v>
      </c>
      <c r="L12" s="72">
        <f t="shared" si="1"/>
        <v>0.7</v>
      </c>
      <c r="M12" s="73">
        <v>0.5</v>
      </c>
      <c r="N12" s="73">
        <v>0.6</v>
      </c>
      <c r="O12" s="72">
        <f t="shared" si="2"/>
        <v>0.8333333333333334</v>
      </c>
      <c r="P12" s="73"/>
      <c r="Q12" s="73"/>
      <c r="R12" s="73"/>
    </row>
    <row r="13" spans="1:18" ht="18.75" customHeight="1">
      <c r="A13" s="12" t="s">
        <v>53</v>
      </c>
      <c r="B13" s="12">
        <v>1030225001</v>
      </c>
      <c r="C13" s="73">
        <v>801.56</v>
      </c>
      <c r="D13" s="73"/>
      <c r="E13" s="69">
        <f>C13+D13</f>
        <v>801.56</v>
      </c>
      <c r="F13" s="69"/>
      <c r="G13" s="73">
        <v>86.1</v>
      </c>
      <c r="H13" s="71">
        <f>G13+M13</f>
        <v>180.89999999999998</v>
      </c>
      <c r="I13" s="72">
        <f>IF(E13&gt;0,H13/E13,0)</f>
        <v>0.22568491441688707</v>
      </c>
      <c r="J13" s="72">
        <f>IF(F13&gt;0,H13/F13,0)</f>
        <v>0</v>
      </c>
      <c r="K13" s="73">
        <v>182.9</v>
      </c>
      <c r="L13" s="72">
        <f t="shared" si="1"/>
        <v>0.9890650628758884</v>
      </c>
      <c r="M13" s="73">
        <v>94.8</v>
      </c>
      <c r="N13" s="73">
        <v>115.2</v>
      </c>
      <c r="O13" s="72">
        <f t="shared" si="2"/>
        <v>0.8229166666666666</v>
      </c>
      <c r="P13" s="73"/>
      <c r="Q13" s="73"/>
      <c r="R13" s="73"/>
    </row>
    <row r="14" spans="1:18" ht="18" customHeight="1">
      <c r="A14" s="12" t="s">
        <v>54</v>
      </c>
      <c r="B14" s="12">
        <v>1030226001</v>
      </c>
      <c r="C14" s="73">
        <v>-74.19</v>
      </c>
      <c r="D14" s="73"/>
      <c r="E14" s="69">
        <f>C14+D14</f>
        <v>-74.19</v>
      </c>
      <c r="F14" s="69"/>
      <c r="G14" s="73">
        <v>-13.1</v>
      </c>
      <c r="H14" s="71">
        <f>G14+M14</f>
        <v>-23.1</v>
      </c>
      <c r="I14" s="72">
        <f>IF(E14&gt;0,H14/E14,0)</f>
        <v>0</v>
      </c>
      <c r="J14" s="72">
        <f>IF(F14&gt;0,H14/F14,0)</f>
        <v>0</v>
      </c>
      <c r="K14" s="73">
        <v>-18</v>
      </c>
      <c r="L14" s="72">
        <f t="shared" si="1"/>
        <v>0</v>
      </c>
      <c r="M14" s="73">
        <v>-10</v>
      </c>
      <c r="N14" s="73">
        <v>-12.6</v>
      </c>
      <c r="O14" s="72">
        <f t="shared" si="2"/>
        <v>0</v>
      </c>
      <c r="P14" s="73"/>
      <c r="Q14" s="73"/>
      <c r="R14" s="73"/>
    </row>
    <row r="15" spans="1:18" ht="18">
      <c r="A15" s="9" t="s">
        <v>72</v>
      </c>
      <c r="B15" s="30">
        <v>1050000000</v>
      </c>
      <c r="C15" s="74">
        <f aca="true" t="shared" si="7" ref="C15:H15">C16</f>
        <v>0</v>
      </c>
      <c r="D15" s="75">
        <f t="shared" si="7"/>
        <v>0</v>
      </c>
      <c r="E15" s="75">
        <f t="shared" si="7"/>
        <v>0</v>
      </c>
      <c r="F15" s="75">
        <f t="shared" si="7"/>
        <v>0</v>
      </c>
      <c r="G15" s="74">
        <f>G16</f>
        <v>0</v>
      </c>
      <c r="H15" s="75">
        <f t="shared" si="7"/>
        <v>0</v>
      </c>
      <c r="I15" s="68">
        <f t="shared" si="4"/>
        <v>0</v>
      </c>
      <c r="J15" s="68">
        <f t="shared" si="5"/>
        <v>0</v>
      </c>
      <c r="K15" s="74">
        <f>K16</f>
        <v>0</v>
      </c>
      <c r="L15" s="68">
        <f t="shared" si="1"/>
        <v>0</v>
      </c>
      <c r="M15" s="74">
        <f>M16</f>
        <v>0</v>
      </c>
      <c r="N15" s="74">
        <f>N16</f>
        <v>0</v>
      </c>
      <c r="O15" s="68">
        <f t="shared" si="2"/>
        <v>0</v>
      </c>
      <c r="P15" s="74">
        <f>P16</f>
        <v>0</v>
      </c>
      <c r="Q15" s="74">
        <f>Q16</f>
        <v>0</v>
      </c>
      <c r="R15" s="74">
        <f>R16</f>
        <v>0</v>
      </c>
    </row>
    <row r="16" spans="1:18" ht="18">
      <c r="A16" s="13" t="s">
        <v>7</v>
      </c>
      <c r="B16" s="13">
        <v>1050300001</v>
      </c>
      <c r="C16" s="73"/>
      <c r="D16" s="85"/>
      <c r="E16" s="69">
        <f>C16+D16</f>
        <v>0</v>
      </c>
      <c r="F16" s="69"/>
      <c r="G16" s="73"/>
      <c r="H16" s="71">
        <f>G16+M16</f>
        <v>0</v>
      </c>
      <c r="I16" s="72">
        <f t="shared" si="4"/>
        <v>0</v>
      </c>
      <c r="J16" s="72">
        <f t="shared" si="5"/>
        <v>0</v>
      </c>
      <c r="K16" s="73"/>
      <c r="L16" s="72">
        <f t="shared" si="1"/>
        <v>0</v>
      </c>
      <c r="M16" s="73"/>
      <c r="N16" s="73"/>
      <c r="O16" s="72">
        <f t="shared" si="2"/>
        <v>0</v>
      </c>
      <c r="P16" s="73"/>
      <c r="Q16" s="73"/>
      <c r="R16" s="73"/>
    </row>
    <row r="17" spans="1:18" ht="18">
      <c r="A17" s="9" t="s">
        <v>73</v>
      </c>
      <c r="B17" s="30">
        <v>1060000000</v>
      </c>
      <c r="C17" s="74">
        <f aca="true" t="shared" si="8" ref="C17:H17">C18+C21</f>
        <v>1568</v>
      </c>
      <c r="D17" s="75">
        <f t="shared" si="8"/>
        <v>0</v>
      </c>
      <c r="E17" s="131">
        <f t="shared" si="8"/>
        <v>1568</v>
      </c>
      <c r="F17" s="75">
        <f t="shared" si="8"/>
        <v>0</v>
      </c>
      <c r="G17" s="75">
        <f>G18+G21</f>
        <v>180.2</v>
      </c>
      <c r="H17" s="75">
        <f t="shared" si="8"/>
        <v>193</v>
      </c>
      <c r="I17" s="68">
        <f t="shared" si="4"/>
        <v>0.12308673469387756</v>
      </c>
      <c r="J17" s="68">
        <f t="shared" si="5"/>
        <v>0</v>
      </c>
      <c r="K17" s="75">
        <f>K18+K21</f>
        <v>230.2</v>
      </c>
      <c r="L17" s="68">
        <f t="shared" si="1"/>
        <v>0.8384013900955691</v>
      </c>
      <c r="M17" s="75">
        <f>M18+M21</f>
        <v>12.8</v>
      </c>
      <c r="N17" s="75">
        <f>N18+N21</f>
        <v>35.2</v>
      </c>
      <c r="O17" s="68">
        <f t="shared" si="2"/>
        <v>0.36363636363636365</v>
      </c>
      <c r="P17" s="74">
        <f>P18+P21</f>
        <v>2020.7000000000003</v>
      </c>
      <c r="Q17" s="74">
        <f>Q18+Q21</f>
        <v>1470.9</v>
      </c>
      <c r="R17" s="74">
        <f>R18+R21</f>
        <v>1465.7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865</v>
      </c>
      <c r="D18" s="70">
        <f t="shared" si="9"/>
        <v>0</v>
      </c>
      <c r="E18" s="70">
        <f t="shared" si="9"/>
        <v>865</v>
      </c>
      <c r="F18" s="70">
        <f t="shared" si="9"/>
        <v>0</v>
      </c>
      <c r="G18" s="76">
        <f>G19+G20</f>
        <v>165.2</v>
      </c>
      <c r="H18" s="70">
        <f t="shared" si="9"/>
        <v>176.4</v>
      </c>
      <c r="I18" s="72">
        <f t="shared" si="4"/>
        <v>0.2039306358381503</v>
      </c>
      <c r="J18" s="72">
        <f t="shared" si="5"/>
        <v>0</v>
      </c>
      <c r="K18" s="76">
        <f>K19+K20</f>
        <v>186.7</v>
      </c>
      <c r="L18" s="72">
        <f t="shared" si="1"/>
        <v>0.9448312801285486</v>
      </c>
      <c r="M18" s="76">
        <f>M19+M20</f>
        <v>11.200000000000001</v>
      </c>
      <c r="N18" s="76">
        <f>N19+N20</f>
        <v>28.8</v>
      </c>
      <c r="O18" s="72">
        <f t="shared" si="2"/>
        <v>0.3888888888888889</v>
      </c>
      <c r="P18" s="73">
        <f>P19+P20</f>
        <v>1669.3000000000002</v>
      </c>
      <c r="Q18" s="73">
        <f>Q19+Q20</f>
        <v>1248.9</v>
      </c>
      <c r="R18" s="73">
        <f>R19+R20</f>
        <v>1241.4</v>
      </c>
    </row>
    <row r="19" spans="1:18" ht="18">
      <c r="A19" s="13" t="s">
        <v>102</v>
      </c>
      <c r="B19" s="13">
        <v>1060603313</v>
      </c>
      <c r="C19" s="73">
        <v>251</v>
      </c>
      <c r="D19" s="70"/>
      <c r="E19" s="69">
        <f>C19+D19</f>
        <v>251</v>
      </c>
      <c r="F19" s="69"/>
      <c r="G19" s="73">
        <v>144.1</v>
      </c>
      <c r="H19" s="71">
        <f>G19+M19</f>
        <v>145.4</v>
      </c>
      <c r="I19" s="72">
        <f t="shared" si="4"/>
        <v>0.5792828685258964</v>
      </c>
      <c r="J19" s="72">
        <f t="shared" si="5"/>
        <v>0</v>
      </c>
      <c r="K19" s="73">
        <v>114.5</v>
      </c>
      <c r="L19" s="72">
        <f t="shared" si="1"/>
        <v>1.269868995633188</v>
      </c>
      <c r="M19" s="73">
        <v>1.3</v>
      </c>
      <c r="N19" s="73">
        <v>1.5</v>
      </c>
      <c r="O19" s="72">
        <f t="shared" si="2"/>
        <v>0.8666666666666667</v>
      </c>
      <c r="P19" s="73">
        <v>463.1</v>
      </c>
      <c r="Q19" s="73">
        <v>463.4</v>
      </c>
      <c r="R19" s="73">
        <v>463.1</v>
      </c>
    </row>
    <row r="20" spans="1:18" ht="18">
      <c r="A20" s="13" t="s">
        <v>103</v>
      </c>
      <c r="B20" s="13">
        <v>1060604313</v>
      </c>
      <c r="C20" s="73">
        <v>614</v>
      </c>
      <c r="D20" s="85"/>
      <c r="E20" s="69">
        <f>C20+D20</f>
        <v>614</v>
      </c>
      <c r="F20" s="69"/>
      <c r="G20" s="73">
        <v>21.1</v>
      </c>
      <c r="H20" s="71">
        <f>G20+M20</f>
        <v>31</v>
      </c>
      <c r="I20" s="72">
        <f t="shared" si="4"/>
        <v>0.050488599348534204</v>
      </c>
      <c r="J20" s="72">
        <f t="shared" si="5"/>
        <v>0</v>
      </c>
      <c r="K20" s="73">
        <v>72.2</v>
      </c>
      <c r="L20" s="72">
        <f t="shared" si="1"/>
        <v>0.4293628808864266</v>
      </c>
      <c r="M20" s="73">
        <v>9.9</v>
      </c>
      <c r="N20" s="73">
        <v>27.3</v>
      </c>
      <c r="O20" s="72">
        <f t="shared" si="2"/>
        <v>0.3626373626373626</v>
      </c>
      <c r="P20" s="73">
        <v>1206.2</v>
      </c>
      <c r="Q20" s="73">
        <v>785.5</v>
      </c>
      <c r="R20" s="73">
        <v>778.3</v>
      </c>
    </row>
    <row r="21" spans="1:18" ht="18">
      <c r="A21" s="13" t="s">
        <v>12</v>
      </c>
      <c r="B21" s="13">
        <v>1060103013</v>
      </c>
      <c r="C21" s="73">
        <v>703</v>
      </c>
      <c r="D21" s="70"/>
      <c r="E21" s="69">
        <f>C21+D21</f>
        <v>703</v>
      </c>
      <c r="F21" s="69"/>
      <c r="G21" s="73">
        <v>15</v>
      </c>
      <c r="H21" s="71">
        <f>G21+M21</f>
        <v>16.6</v>
      </c>
      <c r="I21" s="72">
        <f t="shared" si="4"/>
        <v>0.02361308677098151</v>
      </c>
      <c r="J21" s="72">
        <f t="shared" si="5"/>
        <v>0</v>
      </c>
      <c r="K21" s="73">
        <v>43.5</v>
      </c>
      <c r="L21" s="72">
        <f t="shared" si="1"/>
        <v>0.3816091954022989</v>
      </c>
      <c r="M21" s="73">
        <v>1.6</v>
      </c>
      <c r="N21" s="73">
        <v>6.4</v>
      </c>
      <c r="O21" s="72">
        <f t="shared" si="2"/>
        <v>0.25</v>
      </c>
      <c r="P21" s="73">
        <v>351.4</v>
      </c>
      <c r="Q21" s="73">
        <v>222</v>
      </c>
      <c r="R21" s="73">
        <v>224.3</v>
      </c>
    </row>
    <row r="22" spans="1:18" ht="1.5" customHeight="1">
      <c r="A22" s="9" t="s">
        <v>75</v>
      </c>
      <c r="B22" s="30">
        <v>1090405010</v>
      </c>
      <c r="C22" s="74"/>
      <c r="D22" s="75"/>
      <c r="E22" s="67">
        <f>C22+D22</f>
        <v>0</v>
      </c>
      <c r="F22" s="67"/>
      <c r="G22" s="74"/>
      <c r="H22" s="77">
        <f>G22+M22</f>
        <v>0</v>
      </c>
      <c r="I22" s="68">
        <f t="shared" si="4"/>
        <v>0</v>
      </c>
      <c r="J22" s="68">
        <f t="shared" si="5"/>
        <v>0</v>
      </c>
      <c r="K22" s="74"/>
      <c r="L22" s="68">
        <f t="shared" si="1"/>
        <v>0</v>
      </c>
      <c r="M22" s="74"/>
      <c r="N22" s="74"/>
      <c r="O22" s="68">
        <f aca="true" t="shared" si="10" ref="O22:O36">IF(N22&gt;0,M22/N22,0)</f>
        <v>0</v>
      </c>
      <c r="P22" s="74"/>
      <c r="Q22" s="74"/>
      <c r="R22" s="74"/>
    </row>
    <row r="23" spans="1:18" ht="18">
      <c r="A23" s="14" t="s">
        <v>22</v>
      </c>
      <c r="B23" s="32"/>
      <c r="C23" s="78">
        <f>C24+C29+C32+C36+C37</f>
        <v>1503</v>
      </c>
      <c r="D23" s="78">
        <f>D24+D29+D32+D36+D37</f>
        <v>0</v>
      </c>
      <c r="E23" s="78">
        <f>E24+E31+E34+E37+E36+E33+E30+E35</f>
        <v>1503</v>
      </c>
      <c r="F23" s="78">
        <f>F24+F31+F34+F37+F36+F33+F30+F35</f>
        <v>0</v>
      </c>
      <c r="G23" s="78">
        <f>G24+G31+G34+G37+G36+G33+G30+G35</f>
        <v>284.20000000000005</v>
      </c>
      <c r="H23" s="78">
        <f>H24+H31+H34+H37+H36+H33+H30+H35</f>
        <v>427.4</v>
      </c>
      <c r="I23" s="66">
        <f t="shared" si="4"/>
        <v>0.28436460412508313</v>
      </c>
      <c r="J23" s="66">
        <f t="shared" si="5"/>
        <v>0</v>
      </c>
      <c r="K23" s="78">
        <f>K24+K31+K34+K37+K36+K33+K30+K35</f>
        <v>355.09999999999997</v>
      </c>
      <c r="L23" s="66">
        <f t="shared" si="1"/>
        <v>1.2036046184173472</v>
      </c>
      <c r="M23" s="78">
        <f>M24+M29+M32+M36+M37</f>
        <v>143.20000000000002</v>
      </c>
      <c r="N23" s="78">
        <f>N24+N31+N34+N37+N36+N33+N30+N35</f>
        <v>97.1</v>
      </c>
      <c r="O23" s="66">
        <f t="shared" si="10"/>
        <v>1.4747682801235842</v>
      </c>
      <c r="P23" s="78">
        <f>P24+P31+P34+P37+P36+P33</f>
        <v>246.4</v>
      </c>
      <c r="Q23" s="78">
        <f>Q24+Q31+Q34+Q37+Q36+Q33</f>
        <v>204.4</v>
      </c>
      <c r="R23" s="78">
        <f>R24+R31+R34+R37+R36+R33</f>
        <v>188.3</v>
      </c>
    </row>
    <row r="24" spans="1:18" ht="18">
      <c r="A24" s="9" t="s">
        <v>76</v>
      </c>
      <c r="B24" s="30">
        <v>1110000000</v>
      </c>
      <c r="C24" s="74">
        <f>C25+C27+C28+C26</f>
        <v>1232</v>
      </c>
      <c r="D24" s="131">
        <f>D25+D27+D28+D26</f>
        <v>0</v>
      </c>
      <c r="E24" s="74">
        <f>E25+E27+E28+E26</f>
        <v>1232</v>
      </c>
      <c r="F24" s="74">
        <f>F25+F27+F28</f>
        <v>0</v>
      </c>
      <c r="G24" s="74">
        <f>G25+G27+G28+G26</f>
        <v>137.3</v>
      </c>
      <c r="H24" s="74">
        <f>H25+H27+H28+H26</f>
        <v>206.1</v>
      </c>
      <c r="I24" s="68">
        <f t="shared" si="4"/>
        <v>0.16728896103896104</v>
      </c>
      <c r="J24" s="68">
        <f t="shared" si="5"/>
        <v>0</v>
      </c>
      <c r="K24" s="74">
        <f>K25+K27+K28+K26</f>
        <v>343.2</v>
      </c>
      <c r="L24" s="68">
        <f t="shared" si="1"/>
        <v>0.6005244755244755</v>
      </c>
      <c r="M24" s="74">
        <f>M25+M27+M28+M26</f>
        <v>68.80000000000001</v>
      </c>
      <c r="N24" s="74">
        <f>N25+N27+N28+N26</f>
        <v>94.39999999999999</v>
      </c>
      <c r="O24" s="68">
        <f t="shared" si="10"/>
        <v>0.7288135593220341</v>
      </c>
      <c r="P24" s="74">
        <f>P25+P27+P28</f>
        <v>246.4</v>
      </c>
      <c r="Q24" s="74">
        <f>Q25+Q27+Q28</f>
        <v>204.4</v>
      </c>
      <c r="R24" s="74">
        <f>R25+R27+R28</f>
        <v>188.3</v>
      </c>
    </row>
    <row r="25" spans="1:18" ht="18.75">
      <c r="A25" s="54" t="s">
        <v>99</v>
      </c>
      <c r="B25" s="13">
        <v>1110501313</v>
      </c>
      <c r="C25" s="73">
        <v>600</v>
      </c>
      <c r="D25" s="85"/>
      <c r="E25" s="69">
        <f aca="true" t="shared" si="11" ref="E25:E33">C25+D25</f>
        <v>600</v>
      </c>
      <c r="F25" s="69"/>
      <c r="G25" s="73">
        <v>42</v>
      </c>
      <c r="H25" s="71">
        <f aca="true" t="shared" si="12" ref="H25:H36">G25+M25</f>
        <v>58.1</v>
      </c>
      <c r="I25" s="72">
        <f t="shared" si="4"/>
        <v>0.09683333333333334</v>
      </c>
      <c r="J25" s="72">
        <f t="shared" si="5"/>
        <v>0</v>
      </c>
      <c r="K25" s="73">
        <v>181.7</v>
      </c>
      <c r="L25" s="72">
        <f t="shared" si="1"/>
        <v>0.3197578425976885</v>
      </c>
      <c r="M25" s="73">
        <v>16.1</v>
      </c>
      <c r="N25" s="73">
        <v>21.3</v>
      </c>
      <c r="O25" s="72">
        <f t="shared" si="10"/>
        <v>0.755868544600939</v>
      </c>
      <c r="P25" s="136">
        <v>246.4</v>
      </c>
      <c r="Q25" s="136">
        <v>204.4</v>
      </c>
      <c r="R25" s="136">
        <v>188.3</v>
      </c>
    </row>
    <row r="26" spans="1:18" ht="18.75">
      <c r="A26" s="13" t="s">
        <v>100</v>
      </c>
      <c r="B26" s="13">
        <v>1110502513</v>
      </c>
      <c r="C26" s="73"/>
      <c r="D26" s="85"/>
      <c r="E26" s="69">
        <f t="shared" si="11"/>
        <v>0</v>
      </c>
      <c r="F26" s="69"/>
      <c r="G26" s="73"/>
      <c r="H26" s="71">
        <f>G26+M26</f>
        <v>0</v>
      </c>
      <c r="I26" s="72">
        <f>IF(E26&gt;0,H26/E26,0)</f>
        <v>0</v>
      </c>
      <c r="J26" s="72"/>
      <c r="K26" s="73"/>
      <c r="L26" s="72">
        <f t="shared" si="1"/>
        <v>0</v>
      </c>
      <c r="M26" s="73"/>
      <c r="N26" s="73"/>
      <c r="O26" s="72">
        <f t="shared" si="10"/>
        <v>0</v>
      </c>
      <c r="P26" s="61"/>
      <c r="Q26" s="61"/>
      <c r="R26" s="61"/>
    </row>
    <row r="27" spans="1:18" ht="18">
      <c r="A27" s="13" t="s">
        <v>23</v>
      </c>
      <c r="B27" s="13">
        <v>1110904513</v>
      </c>
      <c r="C27" s="73">
        <v>632</v>
      </c>
      <c r="D27" s="85"/>
      <c r="E27" s="69">
        <f t="shared" si="11"/>
        <v>632</v>
      </c>
      <c r="F27" s="69"/>
      <c r="G27" s="73">
        <v>95.3</v>
      </c>
      <c r="H27" s="71">
        <f t="shared" si="12"/>
        <v>148</v>
      </c>
      <c r="I27" s="72">
        <f t="shared" si="4"/>
        <v>0.23417721518987342</v>
      </c>
      <c r="J27" s="72">
        <f t="shared" si="5"/>
        <v>0</v>
      </c>
      <c r="K27" s="73">
        <v>161.5</v>
      </c>
      <c r="L27" s="72">
        <f t="shared" si="1"/>
        <v>0.9164086687306502</v>
      </c>
      <c r="M27" s="73">
        <v>52.7</v>
      </c>
      <c r="N27" s="73">
        <v>73.1</v>
      </c>
      <c r="O27" s="72">
        <f t="shared" si="10"/>
        <v>0.7209302325581396</v>
      </c>
      <c r="P27" s="73"/>
      <c r="Q27" s="73"/>
      <c r="R27" s="73"/>
    </row>
    <row r="28" spans="1:18" ht="18.75" customHeight="1" hidden="1">
      <c r="A28" s="31" t="s">
        <v>18</v>
      </c>
      <c r="B28" s="13">
        <v>1110903513</v>
      </c>
      <c r="C28" s="73"/>
      <c r="D28" s="73"/>
      <c r="E28" s="69">
        <f t="shared" si="11"/>
        <v>0</v>
      </c>
      <c r="F28" s="69"/>
      <c r="G28" s="73"/>
      <c r="H28" s="71">
        <f t="shared" si="12"/>
        <v>0</v>
      </c>
      <c r="I28" s="72">
        <f t="shared" si="4"/>
        <v>0</v>
      </c>
      <c r="J28" s="72">
        <f t="shared" si="5"/>
        <v>0</v>
      </c>
      <c r="K28" s="73"/>
      <c r="L28" s="72">
        <f t="shared" si="1"/>
        <v>0</v>
      </c>
      <c r="M28" s="73"/>
      <c r="N28" s="73"/>
      <c r="O28" s="72">
        <f t="shared" si="10"/>
        <v>0</v>
      </c>
      <c r="P28" s="73"/>
      <c r="Q28" s="73"/>
      <c r="R28" s="73"/>
    </row>
    <row r="29" spans="1:18" ht="18.75">
      <c r="A29" s="153" t="s">
        <v>68</v>
      </c>
      <c r="B29" s="155">
        <v>1130000000</v>
      </c>
      <c r="C29" s="140">
        <f>C30+C31</f>
        <v>250</v>
      </c>
      <c r="D29" s="140">
        <f>D30+D31</f>
        <v>0</v>
      </c>
      <c r="E29" s="141">
        <f>C29+D29</f>
        <v>250</v>
      </c>
      <c r="F29" s="141"/>
      <c r="G29" s="140">
        <f>G30+G31</f>
        <v>0</v>
      </c>
      <c r="H29" s="154">
        <f t="shared" si="12"/>
        <v>0</v>
      </c>
      <c r="I29" s="142">
        <f t="shared" si="4"/>
        <v>0</v>
      </c>
      <c r="J29" s="142"/>
      <c r="K29" s="140">
        <f>K30+K31</f>
        <v>5.7</v>
      </c>
      <c r="L29" s="142">
        <f t="shared" si="1"/>
        <v>0</v>
      </c>
      <c r="M29" s="140">
        <f>M30+M31</f>
        <v>0</v>
      </c>
      <c r="N29" s="140">
        <f>N30+N31</f>
        <v>0</v>
      </c>
      <c r="O29" s="142">
        <f t="shared" si="10"/>
        <v>0</v>
      </c>
      <c r="P29" s="140">
        <f>P30+P31</f>
        <v>0</v>
      </c>
      <c r="Q29" s="140">
        <f>Q30+Q31</f>
        <v>0</v>
      </c>
      <c r="R29" s="140">
        <f>R30+R31</f>
        <v>0</v>
      </c>
    </row>
    <row r="30" spans="1:18" ht="18">
      <c r="A30" s="45" t="s">
        <v>105</v>
      </c>
      <c r="B30" s="15">
        <v>1130206513</v>
      </c>
      <c r="C30" s="149">
        <v>200</v>
      </c>
      <c r="D30" s="149"/>
      <c r="E30" s="150">
        <f t="shared" si="11"/>
        <v>200</v>
      </c>
      <c r="F30" s="150"/>
      <c r="G30" s="149"/>
      <c r="H30" s="151">
        <f t="shared" si="12"/>
        <v>0</v>
      </c>
      <c r="I30" s="152">
        <f t="shared" si="4"/>
        <v>0</v>
      </c>
      <c r="J30" s="152"/>
      <c r="K30" s="149"/>
      <c r="L30" s="152">
        <f t="shared" si="1"/>
        <v>0</v>
      </c>
      <c r="M30" s="149"/>
      <c r="N30" s="149"/>
      <c r="O30" s="152">
        <f t="shared" si="10"/>
        <v>0</v>
      </c>
      <c r="P30" s="149"/>
      <c r="Q30" s="149"/>
      <c r="R30" s="149"/>
    </row>
    <row r="31" spans="1:18" ht="18">
      <c r="A31" s="15" t="s">
        <v>39</v>
      </c>
      <c r="B31" s="15">
        <v>1130299513</v>
      </c>
      <c r="C31" s="149">
        <v>50</v>
      </c>
      <c r="D31" s="149"/>
      <c r="E31" s="150">
        <f t="shared" si="11"/>
        <v>50</v>
      </c>
      <c r="F31" s="150"/>
      <c r="G31" s="149"/>
      <c r="H31" s="151">
        <f t="shared" si="12"/>
        <v>0</v>
      </c>
      <c r="I31" s="152">
        <f t="shared" si="4"/>
        <v>0</v>
      </c>
      <c r="J31" s="152">
        <f t="shared" si="5"/>
        <v>0</v>
      </c>
      <c r="K31" s="149">
        <v>5.7</v>
      </c>
      <c r="L31" s="152">
        <f t="shared" si="1"/>
        <v>0</v>
      </c>
      <c r="M31" s="149"/>
      <c r="N31" s="149"/>
      <c r="O31" s="152">
        <f t="shared" si="10"/>
        <v>0</v>
      </c>
      <c r="P31" s="149"/>
      <c r="Q31" s="149"/>
      <c r="R31" s="149"/>
    </row>
    <row r="32" spans="1:18" ht="18.75">
      <c r="A32" s="153" t="s">
        <v>69</v>
      </c>
      <c r="B32" s="155">
        <v>1140000000</v>
      </c>
      <c r="C32" s="158">
        <f>C33+C34+C35</f>
        <v>0</v>
      </c>
      <c r="D32" s="158">
        <f>D33+D34+D35</f>
        <v>0</v>
      </c>
      <c r="E32" s="141">
        <f t="shared" si="11"/>
        <v>0</v>
      </c>
      <c r="F32" s="141"/>
      <c r="G32" s="158">
        <f>G33+G34+G35</f>
        <v>130.3</v>
      </c>
      <c r="H32" s="154">
        <f t="shared" si="12"/>
        <v>201.70000000000002</v>
      </c>
      <c r="I32" s="142">
        <f>IF(E32&gt;0,H32/E32,0)</f>
        <v>0</v>
      </c>
      <c r="J32" s="142"/>
      <c r="K32" s="158">
        <f>K33+K34+K35</f>
        <v>2.7</v>
      </c>
      <c r="L32" s="142">
        <f>IF(K32&gt;0,H32/K32,0)</f>
        <v>74.70370370370371</v>
      </c>
      <c r="M32" s="158">
        <f>M33+M34+M35</f>
        <v>71.4</v>
      </c>
      <c r="N32" s="158">
        <f>N33+N34+N35</f>
        <v>2.7</v>
      </c>
      <c r="O32" s="142">
        <f t="shared" si="10"/>
        <v>26.444444444444446</v>
      </c>
      <c r="P32" s="158">
        <f>P33+P34+P35</f>
        <v>0</v>
      </c>
      <c r="Q32" s="158">
        <f>Q33+Q34+Q35</f>
        <v>0</v>
      </c>
      <c r="R32" s="158">
        <f>R33+R34+R35</f>
        <v>0</v>
      </c>
    </row>
    <row r="33" spans="1:18" ht="18">
      <c r="A33" s="15" t="s">
        <v>77</v>
      </c>
      <c r="B33" s="15">
        <v>1140205313</v>
      </c>
      <c r="C33" s="156"/>
      <c r="D33" s="149"/>
      <c r="E33" s="150">
        <f t="shared" si="11"/>
        <v>0</v>
      </c>
      <c r="F33" s="150"/>
      <c r="G33" s="149">
        <v>130</v>
      </c>
      <c r="H33" s="151">
        <f t="shared" si="12"/>
        <v>168.6</v>
      </c>
      <c r="I33" s="152">
        <f>IF(E33&gt;0,H33/E33,0)</f>
        <v>0</v>
      </c>
      <c r="J33" s="152">
        <f>IF(F33&gt;0,H33/F33,0)</f>
        <v>0</v>
      </c>
      <c r="K33" s="149"/>
      <c r="L33" s="152">
        <f>IF(K33&gt;0,H33/K33,0)</f>
        <v>0</v>
      </c>
      <c r="M33" s="149">
        <v>38.6</v>
      </c>
      <c r="N33" s="149"/>
      <c r="O33" s="152">
        <f t="shared" si="10"/>
        <v>0</v>
      </c>
      <c r="P33" s="149"/>
      <c r="Q33" s="149"/>
      <c r="R33" s="149"/>
    </row>
    <row r="34" spans="1:18" ht="18">
      <c r="A34" s="15" t="s">
        <v>106</v>
      </c>
      <c r="B34" s="15">
        <v>1140601313</v>
      </c>
      <c r="C34" s="156"/>
      <c r="D34" s="149"/>
      <c r="E34" s="151">
        <f>C34+D34</f>
        <v>0</v>
      </c>
      <c r="F34" s="151"/>
      <c r="G34" s="149">
        <v>0.3</v>
      </c>
      <c r="H34" s="151">
        <f t="shared" si="12"/>
        <v>8.5</v>
      </c>
      <c r="I34" s="152">
        <f t="shared" si="4"/>
        <v>0</v>
      </c>
      <c r="J34" s="152">
        <f t="shared" si="5"/>
        <v>0</v>
      </c>
      <c r="K34" s="149">
        <v>2.7</v>
      </c>
      <c r="L34" s="152">
        <f t="shared" si="1"/>
        <v>3.148148148148148</v>
      </c>
      <c r="M34" s="149">
        <v>8.2</v>
      </c>
      <c r="N34" s="149">
        <v>2.7</v>
      </c>
      <c r="O34" s="152">
        <f t="shared" si="10"/>
        <v>3.0370370370370368</v>
      </c>
      <c r="P34" s="149"/>
      <c r="Q34" s="149"/>
      <c r="R34" s="149"/>
    </row>
    <row r="35" spans="1:18" ht="18">
      <c r="A35" s="15" t="s">
        <v>107</v>
      </c>
      <c r="B35" s="157">
        <v>1140602513</v>
      </c>
      <c r="C35" s="156"/>
      <c r="D35" s="149"/>
      <c r="E35" s="151">
        <f>C35+D35</f>
        <v>0</v>
      </c>
      <c r="F35" s="151"/>
      <c r="G35" s="149"/>
      <c r="H35" s="151">
        <f t="shared" si="12"/>
        <v>24.6</v>
      </c>
      <c r="I35" s="152">
        <f t="shared" si="4"/>
        <v>0</v>
      </c>
      <c r="J35" s="152">
        <f t="shared" si="5"/>
        <v>0</v>
      </c>
      <c r="K35" s="149"/>
      <c r="L35" s="152">
        <f t="shared" si="1"/>
        <v>0</v>
      </c>
      <c r="M35" s="149">
        <v>24.6</v>
      </c>
      <c r="N35" s="149"/>
      <c r="O35" s="152">
        <f t="shared" si="10"/>
        <v>0</v>
      </c>
      <c r="P35" s="149"/>
      <c r="Q35" s="149"/>
      <c r="R35" s="149"/>
    </row>
    <row r="36" spans="1:18" ht="18">
      <c r="A36" s="9" t="s">
        <v>79</v>
      </c>
      <c r="B36" s="55">
        <v>1160000000</v>
      </c>
      <c r="C36" s="74">
        <v>21</v>
      </c>
      <c r="D36" s="74"/>
      <c r="E36" s="87">
        <f>C36+D36</f>
        <v>21</v>
      </c>
      <c r="F36" s="77"/>
      <c r="G36" s="74">
        <v>16.6</v>
      </c>
      <c r="H36" s="77">
        <f t="shared" si="12"/>
        <v>19.6</v>
      </c>
      <c r="I36" s="68">
        <f t="shared" si="4"/>
        <v>0.9333333333333333</v>
      </c>
      <c r="J36" s="68">
        <f t="shared" si="5"/>
        <v>0</v>
      </c>
      <c r="K36" s="74">
        <v>3.5</v>
      </c>
      <c r="L36" s="68">
        <f t="shared" si="1"/>
        <v>5.6000000000000005</v>
      </c>
      <c r="M36" s="74">
        <v>3</v>
      </c>
      <c r="N36" s="74"/>
      <c r="O36" s="68">
        <f t="shared" si="10"/>
        <v>0</v>
      </c>
      <c r="P36" s="74"/>
      <c r="Q36" s="74"/>
      <c r="R36" s="74"/>
    </row>
    <row r="37" spans="1:18" ht="18">
      <c r="A37" s="9" t="s">
        <v>71</v>
      </c>
      <c r="B37" s="30">
        <v>1170000000</v>
      </c>
      <c r="C37" s="74">
        <f>SUM(C38:C39)</f>
        <v>0</v>
      </c>
      <c r="D37" s="74">
        <f aca="true" t="shared" si="13" ref="D37:R37">SUM(D38:D39)</f>
        <v>0</v>
      </c>
      <c r="E37" s="74">
        <f t="shared" si="13"/>
        <v>0</v>
      </c>
      <c r="F37" s="74">
        <f t="shared" si="13"/>
        <v>0</v>
      </c>
      <c r="G37" s="74">
        <f>SUM(G38:G39)</f>
        <v>0</v>
      </c>
      <c r="H37" s="74">
        <f t="shared" si="13"/>
        <v>0</v>
      </c>
      <c r="I37" s="68">
        <f t="shared" si="4"/>
        <v>0</v>
      </c>
      <c r="J37" s="68">
        <f t="shared" si="5"/>
        <v>0</v>
      </c>
      <c r="K37" s="74">
        <f>SUM(K38:K39)</f>
        <v>0</v>
      </c>
      <c r="L37" s="68">
        <f t="shared" si="1"/>
        <v>0</v>
      </c>
      <c r="M37" s="74">
        <f>SUM(M38:M39)</f>
        <v>0</v>
      </c>
      <c r="N37" s="74">
        <f>SUM(N38:N39)</f>
        <v>0</v>
      </c>
      <c r="O37" s="74">
        <f t="shared" si="13"/>
        <v>0</v>
      </c>
      <c r="P37" s="74">
        <f t="shared" si="13"/>
        <v>0</v>
      </c>
      <c r="Q37" s="74">
        <f>SUM(Q38:Q39)</f>
        <v>0</v>
      </c>
      <c r="R37" s="74">
        <f t="shared" si="13"/>
        <v>0</v>
      </c>
    </row>
    <row r="38" spans="1:18" ht="18">
      <c r="A38" s="13" t="s">
        <v>8</v>
      </c>
      <c r="B38" s="13">
        <v>1170103003</v>
      </c>
      <c r="C38" s="73"/>
      <c r="D38" s="73"/>
      <c r="E38" s="69">
        <f>C38+D38</f>
        <v>0</v>
      </c>
      <c r="F38" s="69"/>
      <c r="G38" s="73"/>
      <c r="H38" s="70">
        <f>G38+M38</f>
        <v>0</v>
      </c>
      <c r="I38" s="72">
        <f t="shared" si="4"/>
        <v>0</v>
      </c>
      <c r="J38" s="72">
        <f t="shared" si="5"/>
        <v>0</v>
      </c>
      <c r="K38" s="73"/>
      <c r="L38" s="72">
        <f t="shared" si="1"/>
        <v>0</v>
      </c>
      <c r="M38" s="73"/>
      <c r="N38" s="73"/>
      <c r="O38" s="72">
        <f aca="true" t="shared" si="14" ref="O38:O45">IF(N38&gt;0,M38/N38,0)</f>
        <v>0</v>
      </c>
      <c r="P38" s="79"/>
      <c r="Q38" s="79"/>
      <c r="R38" s="79"/>
    </row>
    <row r="39" spans="1:18" ht="18">
      <c r="A39" s="13" t="s">
        <v>34</v>
      </c>
      <c r="B39" s="13">
        <v>1170505013</v>
      </c>
      <c r="C39" s="73"/>
      <c r="D39" s="70"/>
      <c r="E39" s="69">
        <f>C39+D39</f>
        <v>0</v>
      </c>
      <c r="F39" s="69"/>
      <c r="G39" s="73"/>
      <c r="H39" s="71">
        <f>G39+M39</f>
        <v>0</v>
      </c>
      <c r="I39" s="72">
        <f>IF(E39&gt;0,H39/E39,0)</f>
        <v>0</v>
      </c>
      <c r="J39" s="72">
        <f>IF(F39&gt;0,H39/F39,0)</f>
        <v>0</v>
      </c>
      <c r="K39" s="73"/>
      <c r="L39" s="72">
        <f>IF(K39&gt;0,H39/K39,0)</f>
        <v>0</v>
      </c>
      <c r="M39" s="73"/>
      <c r="N39" s="73"/>
      <c r="O39" s="72">
        <f t="shared" si="14"/>
        <v>0</v>
      </c>
      <c r="P39" s="73"/>
      <c r="Q39" s="73"/>
      <c r="R39" s="73"/>
    </row>
    <row r="40" spans="1:18" ht="18">
      <c r="A40" s="9" t="s">
        <v>6</v>
      </c>
      <c r="B40" s="9">
        <v>1000000000</v>
      </c>
      <c r="C40" s="81">
        <f aca="true" t="shared" si="15" ref="C40:H40">C5+C23</f>
        <v>8239.78</v>
      </c>
      <c r="D40" s="80">
        <f t="shared" si="15"/>
        <v>0</v>
      </c>
      <c r="E40" s="80">
        <f t="shared" si="15"/>
        <v>8239.78</v>
      </c>
      <c r="F40" s="81">
        <f t="shared" si="15"/>
        <v>0</v>
      </c>
      <c r="G40" s="81">
        <f>G5+G23</f>
        <v>1273.2000000000003</v>
      </c>
      <c r="H40" s="81">
        <f t="shared" si="15"/>
        <v>1970.4</v>
      </c>
      <c r="I40" s="82">
        <f t="shared" si="4"/>
        <v>0.2391325982004374</v>
      </c>
      <c r="J40" s="82">
        <f t="shared" si="5"/>
        <v>0</v>
      </c>
      <c r="K40" s="81">
        <f>K5+K23</f>
        <v>1809.5</v>
      </c>
      <c r="L40" s="82">
        <f t="shared" si="1"/>
        <v>1.0889195910472507</v>
      </c>
      <c r="M40" s="81">
        <f>M5+M23</f>
        <v>697.2</v>
      </c>
      <c r="N40" s="81">
        <f>N5+N23</f>
        <v>658.7</v>
      </c>
      <c r="O40" s="82">
        <f t="shared" si="14"/>
        <v>1.0584484590860785</v>
      </c>
      <c r="P40" s="81">
        <f>P5+P23</f>
        <v>2284.9</v>
      </c>
      <c r="Q40" s="81">
        <f>Q5+Q23</f>
        <v>1687.7000000000003</v>
      </c>
      <c r="R40" s="125">
        <f>R5+R23</f>
        <v>1667.2</v>
      </c>
    </row>
    <row r="41" spans="1:18" ht="18">
      <c r="A41" s="9" t="s">
        <v>94</v>
      </c>
      <c r="B41" s="9"/>
      <c r="C41" s="81">
        <f aca="true" t="shared" si="16" ref="C41:H41">C40-C10</f>
        <v>7112.700000000001</v>
      </c>
      <c r="D41" s="80">
        <f t="shared" si="16"/>
        <v>0</v>
      </c>
      <c r="E41" s="80">
        <f t="shared" si="16"/>
        <v>7112.700000000001</v>
      </c>
      <c r="F41" s="81">
        <f t="shared" si="16"/>
        <v>0</v>
      </c>
      <c r="G41" s="81">
        <f>G40-G10</f>
        <v>1147.3000000000002</v>
      </c>
      <c r="H41" s="81">
        <f t="shared" si="16"/>
        <v>1700.8000000000002</v>
      </c>
      <c r="I41" s="82">
        <f>IF(E41&gt;0,H41/E41,0)</f>
        <v>0.23912157127391848</v>
      </c>
      <c r="J41" s="82">
        <f>IF(F41&gt;0,H41/F41,0)</f>
        <v>0</v>
      </c>
      <c r="K41" s="81">
        <f>K40-K10</f>
        <v>1545.4</v>
      </c>
      <c r="L41" s="82">
        <f t="shared" si="1"/>
        <v>1.100556490229067</v>
      </c>
      <c r="M41" s="81">
        <f>M40-M10</f>
        <v>553.5</v>
      </c>
      <c r="N41" s="81">
        <f>N40-N10</f>
        <v>491.70000000000005</v>
      </c>
      <c r="O41" s="82">
        <f t="shared" si="14"/>
        <v>1.12568639414277</v>
      </c>
      <c r="P41" s="81"/>
      <c r="Q41" s="81"/>
      <c r="R41" s="125"/>
    </row>
    <row r="42" spans="1:18" ht="18">
      <c r="A42" s="13" t="s">
        <v>37</v>
      </c>
      <c r="B42" s="13">
        <v>2000000000</v>
      </c>
      <c r="C42" s="85">
        <v>1001.2</v>
      </c>
      <c r="D42" s="85">
        <f>138.7+1564.809</f>
        <v>1703.509</v>
      </c>
      <c r="E42" s="83">
        <f>C42+D42</f>
        <v>2704.709</v>
      </c>
      <c r="F42" s="69"/>
      <c r="G42" s="73">
        <v>0.3</v>
      </c>
      <c r="H42" s="70">
        <f>G42+M42</f>
        <v>0.3</v>
      </c>
      <c r="I42" s="72">
        <f t="shared" si="4"/>
        <v>0.00011091766249160261</v>
      </c>
      <c r="J42" s="72">
        <f t="shared" si="5"/>
        <v>0</v>
      </c>
      <c r="K42" s="73">
        <v>350.3</v>
      </c>
      <c r="L42" s="72">
        <f t="shared" si="1"/>
        <v>0.0008564087924636026</v>
      </c>
      <c r="M42" s="73"/>
      <c r="N42" s="73"/>
      <c r="O42" s="72">
        <f t="shared" si="14"/>
        <v>0</v>
      </c>
      <c r="P42" s="73"/>
      <c r="Q42" s="73"/>
      <c r="R42" s="73"/>
    </row>
    <row r="43" spans="1:18" ht="18">
      <c r="A43" s="13" t="s">
        <v>48</v>
      </c>
      <c r="B43" s="34" t="s">
        <v>97</v>
      </c>
      <c r="C43" s="73"/>
      <c r="D43" s="84">
        <f>960.332</f>
        <v>960.332</v>
      </c>
      <c r="E43" s="69">
        <f>C43+D43</f>
        <v>960.332</v>
      </c>
      <c r="F43" s="69"/>
      <c r="G43" s="73"/>
      <c r="H43" s="70">
        <f>G43+M43</f>
        <v>75</v>
      </c>
      <c r="I43" s="72">
        <f>IF(E43&gt;0,H43/E43,0)</f>
        <v>0.0780979911114073</v>
      </c>
      <c r="J43" s="72">
        <f>IF(F43&gt;0,H43/F43,0)</f>
        <v>0</v>
      </c>
      <c r="K43" s="73"/>
      <c r="L43" s="72">
        <f t="shared" si="1"/>
        <v>0</v>
      </c>
      <c r="M43" s="73">
        <v>75</v>
      </c>
      <c r="N43" s="73"/>
      <c r="O43" s="72">
        <f t="shared" si="14"/>
        <v>0</v>
      </c>
      <c r="P43" s="73"/>
      <c r="Q43" s="73"/>
      <c r="R43" s="73"/>
    </row>
    <row r="44" spans="1:18" ht="18">
      <c r="A44" s="8" t="s">
        <v>95</v>
      </c>
      <c r="B44" s="46" t="s">
        <v>110</v>
      </c>
      <c r="C44" s="73"/>
      <c r="D44" s="84"/>
      <c r="E44" s="69"/>
      <c r="F44" s="69"/>
      <c r="G44" s="73"/>
      <c r="H44" s="70">
        <f>G44+M44</f>
        <v>0</v>
      </c>
      <c r="I44" s="72">
        <f>IF(E44&gt;0,H44/E44,0)</f>
        <v>0</v>
      </c>
      <c r="J44" s="72"/>
      <c r="K44" s="73">
        <v>-657.5</v>
      </c>
      <c r="L44" s="72"/>
      <c r="M44" s="73"/>
      <c r="N44" s="73"/>
      <c r="O44" s="72"/>
      <c r="P44" s="73"/>
      <c r="Q44" s="73"/>
      <c r="R44" s="73"/>
    </row>
    <row r="45" spans="1:18" ht="18">
      <c r="A45" s="9" t="s">
        <v>2</v>
      </c>
      <c r="B45" s="9">
        <v>0</v>
      </c>
      <c r="C45" s="80">
        <f>C40+C42+C43</f>
        <v>9240.980000000001</v>
      </c>
      <c r="D45" s="80">
        <f>D40+D42+D43</f>
        <v>2663.841</v>
      </c>
      <c r="E45" s="80">
        <f>E40+E42+E43</f>
        <v>11904.821000000002</v>
      </c>
      <c r="F45" s="81">
        <f>F40+F42+F43</f>
        <v>0</v>
      </c>
      <c r="G45" s="81">
        <f>G40+G42+G43+G44</f>
        <v>1273.5000000000002</v>
      </c>
      <c r="H45" s="81">
        <f>H40+H42+H43+H44</f>
        <v>2045.7</v>
      </c>
      <c r="I45" s="82">
        <f t="shared" si="4"/>
        <v>0.1718379469964311</v>
      </c>
      <c r="J45" s="82">
        <f t="shared" si="5"/>
        <v>0</v>
      </c>
      <c r="K45" s="81">
        <f>K40+K42+K43+K44</f>
        <v>1502.3000000000002</v>
      </c>
      <c r="L45" s="82">
        <f t="shared" si="1"/>
        <v>1.3617120415363109</v>
      </c>
      <c r="M45" s="81">
        <f>M40+M42+M43+M44</f>
        <v>772.2</v>
      </c>
      <c r="N45" s="81">
        <f>N40+N42+N43+N44</f>
        <v>658.7</v>
      </c>
      <c r="O45" s="82">
        <f t="shared" si="14"/>
        <v>1.1723090936693488</v>
      </c>
      <c r="P45" s="81">
        <f>P40+P42+P43</f>
        <v>2284.9</v>
      </c>
      <c r="Q45" s="81">
        <f>Q40+Q42+Q43</f>
        <v>1687.7000000000003</v>
      </c>
      <c r="R45" s="81">
        <f>R40+R42+R43</f>
        <v>1667.2</v>
      </c>
    </row>
  </sheetData>
  <sheetProtection/>
  <mergeCells count="15"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</mergeCells>
  <printOptions/>
  <pageMargins left="0.75" right="0.75" top="1" bottom="1" header="0.5" footer="0.5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1.75390625" style="0" customWidth="1"/>
    <col min="10" max="10" width="0.12890625" style="0" customWidth="1"/>
    <col min="11" max="11" width="10.625" style="0" customWidth="1"/>
    <col min="12" max="12" width="11.75390625" style="0" customWidth="1"/>
    <col min="13" max="13" width="10.125" style="0" customWidth="1"/>
    <col min="14" max="14" width="11.125" style="0" customWidth="1"/>
    <col min="15" max="15" width="12.375" style="0" customWidth="1"/>
    <col min="16" max="16" width="10.375" style="0" customWidth="1"/>
    <col min="17" max="17" width="10.75390625" style="0" customWidth="1"/>
    <col min="18" max="18" width="10.625" style="0" customWidth="1"/>
  </cols>
  <sheetData>
    <row r="1" spans="1:18" ht="15.75">
      <c r="A1" s="26"/>
      <c r="B1" s="48"/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26"/>
      <c r="Q1" s="26"/>
      <c r="R1" s="26"/>
    </row>
    <row r="2" spans="1:18" ht="15.75">
      <c r="A2" s="26"/>
      <c r="B2" s="167" t="s">
        <v>126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8" customHeight="1">
      <c r="A3" s="172" t="s">
        <v>3</v>
      </c>
      <c r="B3" s="164" t="s">
        <v>4</v>
      </c>
      <c r="C3" s="164" t="s">
        <v>114</v>
      </c>
      <c r="D3" s="164" t="s">
        <v>24</v>
      </c>
      <c r="E3" s="164" t="s">
        <v>115</v>
      </c>
      <c r="F3" s="164" t="s">
        <v>101</v>
      </c>
      <c r="G3" s="164" t="s">
        <v>118</v>
      </c>
      <c r="H3" s="164" t="s">
        <v>116</v>
      </c>
      <c r="I3" s="164"/>
      <c r="J3" s="164"/>
      <c r="K3" s="164" t="s">
        <v>108</v>
      </c>
      <c r="L3" s="164"/>
      <c r="M3" s="164" t="s">
        <v>121</v>
      </c>
      <c r="N3" s="164" t="s">
        <v>122</v>
      </c>
      <c r="O3" s="164" t="s">
        <v>30</v>
      </c>
      <c r="P3" s="164" t="s">
        <v>9</v>
      </c>
      <c r="Q3" s="164"/>
      <c r="R3" s="164"/>
    </row>
    <row r="4" spans="1:18" ht="98.25" customHeight="1">
      <c r="A4" s="173"/>
      <c r="B4" s="174"/>
      <c r="C4" s="164"/>
      <c r="D4" s="164"/>
      <c r="E4" s="164"/>
      <c r="F4" s="164"/>
      <c r="G4" s="164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4"/>
      <c r="N4" s="164"/>
      <c r="O4" s="164"/>
      <c r="P4" s="124" t="s">
        <v>117</v>
      </c>
      <c r="Q4" s="124" t="s">
        <v>119</v>
      </c>
      <c r="R4" s="124" t="s">
        <v>123</v>
      </c>
    </row>
    <row r="5" spans="1:18" ht="21" customHeight="1">
      <c r="A5" s="51" t="s">
        <v>21</v>
      </c>
      <c r="B5" s="52"/>
      <c r="C5" s="86">
        <f aca="true" t="shared" si="0" ref="C5:H5">C6+C16+C18+C23+C24+C11</f>
        <v>745.8000000000001</v>
      </c>
      <c r="D5" s="86">
        <f t="shared" si="0"/>
        <v>0</v>
      </c>
      <c r="E5" s="86">
        <f t="shared" si="0"/>
        <v>745.8000000000001</v>
      </c>
      <c r="F5" s="86">
        <f t="shared" si="0"/>
        <v>0</v>
      </c>
      <c r="G5" s="86">
        <f t="shared" si="0"/>
        <v>88.80000000000001</v>
      </c>
      <c r="H5" s="86">
        <f t="shared" si="0"/>
        <v>150.4</v>
      </c>
      <c r="I5" s="66">
        <f aca="true" t="shared" si="1" ref="I5:I40">IF(E5&gt;0,H5/E5,0)</f>
        <v>0.20166264414052024</v>
      </c>
      <c r="J5" s="66">
        <f>IF(F5&gt;0,H5/F5,0)</f>
        <v>0</v>
      </c>
      <c r="K5" s="86">
        <f>K6+K16+K18+K23+K24+K11</f>
        <v>156</v>
      </c>
      <c r="L5" s="66">
        <f>IF(K5&gt;0,H5/K5,0)</f>
        <v>0.9641025641025641</v>
      </c>
      <c r="M5" s="86">
        <f>M6+M16+M18+M23+M24+M11</f>
        <v>61.599999999999994</v>
      </c>
      <c r="N5" s="86">
        <f>N6+N16+N18+N23+N24+N11</f>
        <v>73.80000000000001</v>
      </c>
      <c r="O5" s="66">
        <f aca="true" t="shared" si="2" ref="O5:O32">IF(N5&gt;0,M5/N5,0)</f>
        <v>0.8346883468834686</v>
      </c>
      <c r="P5" s="86">
        <f>P6+P16+P18+P23+P24+P11</f>
        <v>38.4</v>
      </c>
      <c r="Q5" s="86">
        <f>Q6+Q16+Q18+Q23+Q24+Q11</f>
        <v>24.900000000000002</v>
      </c>
      <c r="R5" s="86">
        <f>R6+R16+R18+R23+R24+R11</f>
        <v>24.4</v>
      </c>
    </row>
    <row r="6" spans="1:18" ht="16.5" customHeight="1">
      <c r="A6" s="9" t="s">
        <v>65</v>
      </c>
      <c r="B6" s="53">
        <v>1010200001</v>
      </c>
      <c r="C6" s="87">
        <f aca="true" t="shared" si="3" ref="C6:H6">C7+C8+C9+C10</f>
        <v>271.3</v>
      </c>
      <c r="D6" s="87">
        <f t="shared" si="3"/>
        <v>0</v>
      </c>
      <c r="E6" s="87">
        <f t="shared" si="3"/>
        <v>271.3</v>
      </c>
      <c r="F6" s="87">
        <f t="shared" si="3"/>
        <v>0</v>
      </c>
      <c r="G6" s="87">
        <f t="shared" si="3"/>
        <v>56.7</v>
      </c>
      <c r="H6" s="87">
        <f t="shared" si="3"/>
        <v>85.7</v>
      </c>
      <c r="I6" s="68">
        <f t="shared" si="1"/>
        <v>0.31588647253962404</v>
      </c>
      <c r="J6" s="68">
        <f>IF(F6&gt;0,H6/F6,0)</f>
        <v>0</v>
      </c>
      <c r="K6" s="87">
        <f>K7+K8+K9+K10</f>
        <v>64.5</v>
      </c>
      <c r="L6" s="68">
        <f aca="true" t="shared" si="4" ref="L6:L40">IF(K6&gt;0,H6/K6,0)</f>
        <v>1.3286821705426357</v>
      </c>
      <c r="M6" s="87">
        <f>M7+M8+M9+M10</f>
        <v>29</v>
      </c>
      <c r="N6" s="87">
        <f>N7+N8+N9+N10</f>
        <v>30.3</v>
      </c>
      <c r="O6" s="68">
        <f t="shared" si="2"/>
        <v>0.957095709570957</v>
      </c>
      <c r="P6" s="87">
        <f>P7+P8+P9+P10</f>
        <v>1</v>
      </c>
      <c r="Q6" s="87">
        <f>Q7+Q8+Q9+Q10</f>
        <v>1</v>
      </c>
      <c r="R6" s="87">
        <f>R7+R8+R9+R10</f>
        <v>1.4</v>
      </c>
    </row>
    <row r="7" spans="1:18" ht="18">
      <c r="A7" s="10" t="s">
        <v>46</v>
      </c>
      <c r="B7" s="13">
        <v>1010201001</v>
      </c>
      <c r="C7" s="73">
        <v>271.3</v>
      </c>
      <c r="D7" s="70"/>
      <c r="E7" s="69">
        <f>C7+D7</f>
        <v>271.3</v>
      </c>
      <c r="F7" s="69"/>
      <c r="G7" s="70">
        <v>56.7</v>
      </c>
      <c r="H7" s="71">
        <f>G7+M7</f>
        <v>84.9</v>
      </c>
      <c r="I7" s="72">
        <f t="shared" si="1"/>
        <v>0.31293770733505344</v>
      </c>
      <c r="J7" s="72">
        <f aca="true" t="shared" si="5" ref="J7:J40">IF(F7&gt;0,H7/F7,0)</f>
        <v>0</v>
      </c>
      <c r="K7" s="70">
        <v>64.5</v>
      </c>
      <c r="L7" s="72">
        <f t="shared" si="4"/>
        <v>1.316279069767442</v>
      </c>
      <c r="M7" s="70">
        <v>28.2</v>
      </c>
      <c r="N7" s="70">
        <v>30.3</v>
      </c>
      <c r="O7" s="72">
        <f t="shared" si="2"/>
        <v>0.9306930693069306</v>
      </c>
      <c r="P7" s="73"/>
      <c r="Q7" s="73"/>
      <c r="R7" s="73">
        <v>0.4</v>
      </c>
    </row>
    <row r="8" spans="1:18" ht="18">
      <c r="A8" s="10" t="s">
        <v>45</v>
      </c>
      <c r="B8" s="13">
        <v>1010202001</v>
      </c>
      <c r="C8" s="73"/>
      <c r="D8" s="70"/>
      <c r="E8" s="69">
        <f>C8+D8</f>
        <v>0</v>
      </c>
      <c r="F8" s="69"/>
      <c r="G8" s="73"/>
      <c r="H8" s="71">
        <f>G8+M8</f>
        <v>0</v>
      </c>
      <c r="I8" s="72">
        <f t="shared" si="1"/>
        <v>0</v>
      </c>
      <c r="J8" s="72">
        <f t="shared" si="5"/>
        <v>0</v>
      </c>
      <c r="K8" s="73"/>
      <c r="L8" s="72">
        <f>IF(K8&gt;0,H8/K8,0)</f>
        <v>0</v>
      </c>
      <c r="M8" s="73"/>
      <c r="N8" s="73"/>
      <c r="O8" s="72">
        <f>IF(N8&gt;0,M8/N8,0)</f>
        <v>0</v>
      </c>
      <c r="P8" s="69"/>
      <c r="Q8" s="69"/>
      <c r="R8" s="69"/>
    </row>
    <row r="9" spans="1:18" ht="21" customHeight="1">
      <c r="A9" s="10" t="s">
        <v>43</v>
      </c>
      <c r="B9" s="13">
        <v>1010203001</v>
      </c>
      <c r="C9" s="73"/>
      <c r="D9" s="73"/>
      <c r="E9" s="69">
        <f>C9+D9</f>
        <v>0</v>
      </c>
      <c r="F9" s="69"/>
      <c r="G9" s="73"/>
      <c r="H9" s="71">
        <f>G9+M9</f>
        <v>0.8</v>
      </c>
      <c r="I9" s="72">
        <f t="shared" si="1"/>
        <v>0</v>
      </c>
      <c r="J9" s="72">
        <f t="shared" si="5"/>
        <v>0</v>
      </c>
      <c r="K9" s="73"/>
      <c r="L9" s="72">
        <f t="shared" si="4"/>
        <v>0</v>
      </c>
      <c r="M9" s="73">
        <v>0.8</v>
      </c>
      <c r="N9" s="73"/>
      <c r="O9" s="72">
        <f t="shared" si="2"/>
        <v>0</v>
      </c>
      <c r="P9" s="73">
        <v>1</v>
      </c>
      <c r="Q9" s="73">
        <v>1</v>
      </c>
      <c r="R9" s="73">
        <v>1</v>
      </c>
    </row>
    <row r="10" spans="1:18" ht="24" customHeight="1" hidden="1">
      <c r="A10" s="10" t="s">
        <v>44</v>
      </c>
      <c r="B10" s="13">
        <v>1010204001</v>
      </c>
      <c r="C10" s="73"/>
      <c r="D10" s="73"/>
      <c r="E10" s="69">
        <f>C10+D10</f>
        <v>0</v>
      </c>
      <c r="F10" s="69"/>
      <c r="G10" s="73"/>
      <c r="H10" s="71">
        <f>G10+M10</f>
        <v>0</v>
      </c>
      <c r="I10" s="72">
        <f t="shared" si="1"/>
        <v>0</v>
      </c>
      <c r="J10" s="72">
        <f t="shared" si="5"/>
        <v>0</v>
      </c>
      <c r="K10" s="73"/>
      <c r="L10" s="72">
        <f t="shared" si="4"/>
        <v>0</v>
      </c>
      <c r="M10" s="73"/>
      <c r="N10" s="73"/>
      <c r="O10" s="72">
        <f t="shared" si="2"/>
        <v>0</v>
      </c>
      <c r="P10" s="73"/>
      <c r="Q10" s="73"/>
      <c r="R10" s="73"/>
    </row>
    <row r="11" spans="1:18" ht="36" customHeight="1">
      <c r="A11" s="11" t="s">
        <v>50</v>
      </c>
      <c r="B11" s="19">
        <v>1030200001</v>
      </c>
      <c r="C11" s="74">
        <f aca="true" t="shared" si="6" ref="C11:H11">SUM(C12:C15)</f>
        <v>246.50000000000006</v>
      </c>
      <c r="D11" s="74">
        <f t="shared" si="6"/>
        <v>0</v>
      </c>
      <c r="E11" s="74">
        <f t="shared" si="6"/>
        <v>246.50000000000006</v>
      </c>
      <c r="F11" s="74"/>
      <c r="G11" s="74">
        <f>SUM(G12:G15)</f>
        <v>27.5</v>
      </c>
      <c r="H11" s="74">
        <f t="shared" si="6"/>
        <v>58.9</v>
      </c>
      <c r="I11" s="68">
        <f t="shared" si="1"/>
        <v>0.23894523326572</v>
      </c>
      <c r="J11" s="68">
        <f>IF(F11&gt;0,H11/F11,0)</f>
        <v>0</v>
      </c>
      <c r="K11" s="74">
        <f>SUM(K12:K15)</f>
        <v>57.49999999999999</v>
      </c>
      <c r="L11" s="68">
        <f t="shared" si="4"/>
        <v>1.0243478260869565</v>
      </c>
      <c r="M11" s="74">
        <f>SUM(M12:M15)</f>
        <v>31.399999999999995</v>
      </c>
      <c r="N11" s="74">
        <f>SUM(N12:N15)</f>
        <v>36.4</v>
      </c>
      <c r="O11" s="68">
        <f t="shared" si="2"/>
        <v>0.8626373626373626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2.5" customHeight="1">
      <c r="A12" s="12" t="s">
        <v>51</v>
      </c>
      <c r="B12" s="12">
        <v>1030223001</v>
      </c>
      <c r="C12" s="73">
        <v>86.7</v>
      </c>
      <c r="D12" s="73"/>
      <c r="E12" s="69">
        <f>C12+D12</f>
        <v>86.7</v>
      </c>
      <c r="F12" s="69"/>
      <c r="G12" s="73">
        <v>11.5</v>
      </c>
      <c r="H12" s="71">
        <f>G12+M12</f>
        <v>24.2</v>
      </c>
      <c r="I12" s="72">
        <f t="shared" si="1"/>
        <v>0.2791234140715109</v>
      </c>
      <c r="J12" s="72">
        <f>IF(F12&gt;0,H12/F12,0)</f>
        <v>0</v>
      </c>
      <c r="K12" s="73">
        <v>21.4</v>
      </c>
      <c r="L12" s="72">
        <f t="shared" si="4"/>
        <v>1.1308411214953271</v>
      </c>
      <c r="M12" s="73">
        <v>12.7</v>
      </c>
      <c r="N12" s="73">
        <v>13.9</v>
      </c>
      <c r="O12" s="72">
        <f t="shared" si="2"/>
        <v>0.9136690647482013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0.7</v>
      </c>
      <c r="D13" s="73"/>
      <c r="E13" s="69">
        <f>C13+D13</f>
        <v>0.7</v>
      </c>
      <c r="F13" s="69"/>
      <c r="G13" s="73"/>
      <c r="H13" s="71">
        <f>G13+M13</f>
        <v>0.2</v>
      </c>
      <c r="I13" s="72">
        <f t="shared" si="1"/>
        <v>0.28571428571428575</v>
      </c>
      <c r="J13" s="72">
        <f>IF(F13&gt;0,H13/F13,0)</f>
        <v>0</v>
      </c>
      <c r="K13" s="73">
        <v>0.2</v>
      </c>
      <c r="L13" s="72">
        <f t="shared" si="4"/>
        <v>1</v>
      </c>
      <c r="M13" s="73">
        <v>0.2</v>
      </c>
      <c r="N13" s="73">
        <v>0.1</v>
      </c>
      <c r="O13" s="72">
        <f t="shared" si="2"/>
        <v>2</v>
      </c>
      <c r="P13" s="73"/>
      <c r="Q13" s="73"/>
      <c r="R13" s="73"/>
    </row>
    <row r="14" spans="1:18" ht="19.5" customHeight="1">
      <c r="A14" s="12" t="s">
        <v>53</v>
      </c>
      <c r="B14" s="12">
        <v>1030225001</v>
      </c>
      <c r="C14" s="73">
        <v>175.3</v>
      </c>
      <c r="D14" s="73"/>
      <c r="E14" s="69">
        <f>C14+D14</f>
        <v>175.3</v>
      </c>
      <c r="F14" s="69"/>
      <c r="G14" s="73">
        <v>18.8</v>
      </c>
      <c r="H14" s="71">
        <f>G14+M14</f>
        <v>39.5</v>
      </c>
      <c r="I14" s="72">
        <f t="shared" si="1"/>
        <v>0.2253280091272105</v>
      </c>
      <c r="J14" s="72">
        <f>IF(F14&gt;0,H14/F14,0)</f>
        <v>0</v>
      </c>
      <c r="K14" s="73">
        <v>39.8</v>
      </c>
      <c r="L14" s="72">
        <f t="shared" si="4"/>
        <v>0.992462311557789</v>
      </c>
      <c r="M14" s="73">
        <v>20.7</v>
      </c>
      <c r="N14" s="73">
        <v>25.1</v>
      </c>
      <c r="O14" s="72">
        <f t="shared" si="2"/>
        <v>0.8247011952191234</v>
      </c>
      <c r="P14" s="73"/>
      <c r="Q14" s="73"/>
      <c r="R14" s="73"/>
    </row>
    <row r="15" spans="1:18" ht="18.75" customHeight="1">
      <c r="A15" s="12" t="s">
        <v>54</v>
      </c>
      <c r="B15" s="12">
        <v>1030226001</v>
      </c>
      <c r="C15" s="73">
        <v>-16.2</v>
      </c>
      <c r="D15" s="73"/>
      <c r="E15" s="69">
        <f>C15+D15</f>
        <v>-16.2</v>
      </c>
      <c r="F15" s="69"/>
      <c r="G15" s="73">
        <v>-2.8</v>
      </c>
      <c r="H15" s="71">
        <f>G15+M15</f>
        <v>-5</v>
      </c>
      <c r="I15" s="72">
        <f t="shared" si="1"/>
        <v>0</v>
      </c>
      <c r="J15" s="72">
        <f>IF(F15&gt;0,H15/F15,0)</f>
        <v>0</v>
      </c>
      <c r="K15" s="73">
        <v>-3.9</v>
      </c>
      <c r="L15" s="72">
        <f t="shared" si="4"/>
        <v>0</v>
      </c>
      <c r="M15" s="73">
        <v>-2.2</v>
      </c>
      <c r="N15" s="73">
        <v>-2.7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138</v>
      </c>
      <c r="D16" s="75">
        <f t="shared" si="7"/>
        <v>0</v>
      </c>
      <c r="E16" s="75">
        <f t="shared" si="7"/>
        <v>138</v>
      </c>
      <c r="F16" s="75">
        <f t="shared" si="7"/>
        <v>0</v>
      </c>
      <c r="G16" s="74">
        <f>G17</f>
        <v>2.9</v>
      </c>
      <c r="H16" s="75">
        <f t="shared" si="7"/>
        <v>2.9</v>
      </c>
      <c r="I16" s="68">
        <f t="shared" si="1"/>
        <v>0.021014492753623187</v>
      </c>
      <c r="J16" s="68">
        <f t="shared" si="5"/>
        <v>0</v>
      </c>
      <c r="K16" s="74">
        <f>K17</f>
        <v>6.2</v>
      </c>
      <c r="L16" s="68">
        <f t="shared" si="4"/>
        <v>0.46774193548387094</v>
      </c>
      <c r="M16" s="74">
        <f>M17</f>
        <v>0</v>
      </c>
      <c r="N16" s="74">
        <f>N17</f>
        <v>6.2</v>
      </c>
      <c r="O16" s="68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138</v>
      </c>
      <c r="D17" s="70"/>
      <c r="E17" s="69">
        <f>C17+D17</f>
        <v>138</v>
      </c>
      <c r="F17" s="69">
        <f>1-1</f>
        <v>0</v>
      </c>
      <c r="G17" s="73">
        <v>2.9</v>
      </c>
      <c r="H17" s="71">
        <f>G17+M17</f>
        <v>2.9</v>
      </c>
      <c r="I17" s="72">
        <f t="shared" si="1"/>
        <v>0.021014492753623187</v>
      </c>
      <c r="J17" s="72">
        <f t="shared" si="5"/>
        <v>0</v>
      </c>
      <c r="K17" s="73">
        <v>6.2</v>
      </c>
      <c r="L17" s="72">
        <f t="shared" si="4"/>
        <v>0.46774193548387094</v>
      </c>
      <c r="M17" s="73"/>
      <c r="N17" s="73">
        <v>6.2</v>
      </c>
      <c r="O17" s="72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87</v>
      </c>
      <c r="D18" s="128">
        <f t="shared" si="8"/>
        <v>0</v>
      </c>
      <c r="E18" s="75">
        <f t="shared" si="8"/>
        <v>87</v>
      </c>
      <c r="F18" s="75">
        <f t="shared" si="8"/>
        <v>0</v>
      </c>
      <c r="G18" s="74">
        <f>G19+G22</f>
        <v>1.6</v>
      </c>
      <c r="H18" s="75">
        <f t="shared" si="8"/>
        <v>2.7</v>
      </c>
      <c r="I18" s="68">
        <f t="shared" si="1"/>
        <v>0.031034482758620693</v>
      </c>
      <c r="J18" s="68">
        <f t="shared" si="5"/>
        <v>0</v>
      </c>
      <c r="K18" s="74">
        <f>K19+K22</f>
        <v>27.400000000000002</v>
      </c>
      <c r="L18" s="68">
        <f t="shared" si="4"/>
        <v>0.09854014598540146</v>
      </c>
      <c r="M18" s="74">
        <f>M19+M22</f>
        <v>1.1</v>
      </c>
      <c r="N18" s="74">
        <f>N19+N22</f>
        <v>0.7</v>
      </c>
      <c r="O18" s="68">
        <f t="shared" si="2"/>
        <v>1.5714285714285716</v>
      </c>
      <c r="P18" s="74">
        <f>P19+P22</f>
        <v>37.4</v>
      </c>
      <c r="Q18" s="74">
        <f>Q19+Q22</f>
        <v>23.900000000000002</v>
      </c>
      <c r="R18" s="74">
        <f>R19+R22</f>
        <v>23</v>
      </c>
    </row>
    <row r="19" spans="1:18" ht="18">
      <c r="A19" s="13" t="s">
        <v>13</v>
      </c>
      <c r="B19" s="13">
        <v>1060600000</v>
      </c>
      <c r="C19" s="76">
        <f aca="true" t="shared" si="9" ref="C19:H19">C20+C21</f>
        <v>73</v>
      </c>
      <c r="D19" s="76">
        <f t="shared" si="9"/>
        <v>0</v>
      </c>
      <c r="E19" s="70">
        <f t="shared" si="9"/>
        <v>73</v>
      </c>
      <c r="F19" s="70">
        <f t="shared" si="9"/>
        <v>0</v>
      </c>
      <c r="G19" s="76">
        <f>G20+G21</f>
        <v>1.6</v>
      </c>
      <c r="H19" s="70">
        <f t="shared" si="9"/>
        <v>2.7</v>
      </c>
      <c r="I19" s="72">
        <f t="shared" si="1"/>
        <v>0.036986301369863014</v>
      </c>
      <c r="J19" s="72">
        <f t="shared" si="5"/>
        <v>0</v>
      </c>
      <c r="K19" s="76">
        <f>K20+K21</f>
        <v>26.8</v>
      </c>
      <c r="L19" s="72">
        <f t="shared" si="4"/>
        <v>0.10074626865671642</v>
      </c>
      <c r="M19" s="76">
        <f>M20+M21</f>
        <v>1.1</v>
      </c>
      <c r="N19" s="76">
        <f>N20+N21</f>
        <v>0.7</v>
      </c>
      <c r="O19" s="72">
        <f t="shared" si="2"/>
        <v>1.5714285714285716</v>
      </c>
      <c r="P19" s="73">
        <f>P20+P21</f>
        <v>33.3</v>
      </c>
      <c r="Q19" s="73">
        <f>Q20+Q21</f>
        <v>21.6</v>
      </c>
      <c r="R19" s="73">
        <f>R20+R21</f>
        <v>20.5</v>
      </c>
    </row>
    <row r="20" spans="1:18" ht="18">
      <c r="A20" s="13" t="s">
        <v>102</v>
      </c>
      <c r="B20" s="13">
        <v>1060603310</v>
      </c>
      <c r="C20" s="73">
        <v>28</v>
      </c>
      <c r="D20" s="70"/>
      <c r="E20" s="69">
        <f>C20+D20</f>
        <v>28</v>
      </c>
      <c r="F20" s="69"/>
      <c r="G20" s="73">
        <v>0.8</v>
      </c>
      <c r="H20" s="71">
        <f>G20+M20</f>
        <v>0.8</v>
      </c>
      <c r="I20" s="72">
        <f t="shared" si="1"/>
        <v>0.028571428571428574</v>
      </c>
      <c r="J20" s="72">
        <f t="shared" si="5"/>
        <v>0</v>
      </c>
      <c r="K20" s="73">
        <v>24.5</v>
      </c>
      <c r="L20" s="72">
        <f t="shared" si="4"/>
        <v>0.0326530612244898</v>
      </c>
      <c r="M20" s="73"/>
      <c r="N20" s="73"/>
      <c r="O20" s="72">
        <f t="shared" si="2"/>
        <v>0</v>
      </c>
      <c r="P20" s="73"/>
      <c r="Q20" s="73"/>
      <c r="R20" s="73"/>
    </row>
    <row r="21" spans="1:18" ht="18">
      <c r="A21" s="13" t="s">
        <v>103</v>
      </c>
      <c r="B21" s="13">
        <v>1060604310</v>
      </c>
      <c r="C21" s="73">
        <v>45</v>
      </c>
      <c r="D21" s="70"/>
      <c r="E21" s="69">
        <f>C21+D21</f>
        <v>45</v>
      </c>
      <c r="F21" s="69"/>
      <c r="G21" s="73">
        <v>0.8</v>
      </c>
      <c r="H21" s="71">
        <f>G21+M21</f>
        <v>1.9000000000000001</v>
      </c>
      <c r="I21" s="72">
        <f t="shared" si="1"/>
        <v>0.042222222222222223</v>
      </c>
      <c r="J21" s="72">
        <f t="shared" si="5"/>
        <v>0</v>
      </c>
      <c r="K21" s="73">
        <v>2.3</v>
      </c>
      <c r="L21" s="72">
        <f t="shared" si="4"/>
        <v>0.8260869565217392</v>
      </c>
      <c r="M21" s="73">
        <v>1.1</v>
      </c>
      <c r="N21" s="73">
        <v>0.7</v>
      </c>
      <c r="O21" s="72">
        <f t="shared" si="2"/>
        <v>1.5714285714285716</v>
      </c>
      <c r="P21" s="73">
        <v>33.3</v>
      </c>
      <c r="Q21" s="73">
        <v>21.6</v>
      </c>
      <c r="R21" s="73">
        <v>20.5</v>
      </c>
    </row>
    <row r="22" spans="1:19" ht="18">
      <c r="A22" s="13" t="s">
        <v>12</v>
      </c>
      <c r="B22" s="13">
        <v>1060103010</v>
      </c>
      <c r="C22" s="73">
        <v>14</v>
      </c>
      <c r="D22" s="70"/>
      <c r="E22" s="69">
        <f>C22+D22</f>
        <v>14</v>
      </c>
      <c r="F22" s="69"/>
      <c r="G22" s="73"/>
      <c r="H22" s="71">
        <f>G22+M22</f>
        <v>0</v>
      </c>
      <c r="I22" s="72">
        <f t="shared" si="1"/>
        <v>0</v>
      </c>
      <c r="J22" s="72">
        <f t="shared" si="5"/>
        <v>0</v>
      </c>
      <c r="K22" s="73">
        <v>0.6</v>
      </c>
      <c r="L22" s="72">
        <f t="shared" si="4"/>
        <v>0</v>
      </c>
      <c r="M22" s="73"/>
      <c r="N22" s="73"/>
      <c r="O22" s="72">
        <f t="shared" si="2"/>
        <v>0</v>
      </c>
      <c r="P22" s="73">
        <v>4.1</v>
      </c>
      <c r="Q22" s="73">
        <v>2.3</v>
      </c>
      <c r="R22" s="73">
        <v>2.5</v>
      </c>
      <c r="S22" s="134"/>
    </row>
    <row r="23" spans="1:18" ht="18">
      <c r="A23" s="30" t="s">
        <v>74</v>
      </c>
      <c r="B23" s="30">
        <v>1080402001</v>
      </c>
      <c r="C23" s="74">
        <v>3</v>
      </c>
      <c r="D23" s="75"/>
      <c r="E23" s="67">
        <f>C23+D23</f>
        <v>3</v>
      </c>
      <c r="F23" s="67"/>
      <c r="G23" s="74">
        <v>0.1</v>
      </c>
      <c r="H23" s="77">
        <f>G23+M23</f>
        <v>0.2</v>
      </c>
      <c r="I23" s="68">
        <f t="shared" si="1"/>
        <v>0.06666666666666667</v>
      </c>
      <c r="J23" s="68">
        <f t="shared" si="5"/>
        <v>0</v>
      </c>
      <c r="K23" s="74">
        <v>0.4</v>
      </c>
      <c r="L23" s="68">
        <f t="shared" si="4"/>
        <v>0.5</v>
      </c>
      <c r="M23" s="74">
        <v>0.1</v>
      </c>
      <c r="N23" s="74">
        <v>0.2</v>
      </c>
      <c r="O23" s="68">
        <f t="shared" si="2"/>
        <v>0.5</v>
      </c>
      <c r="P23" s="74"/>
      <c r="Q23" s="74"/>
      <c r="R23" s="74"/>
    </row>
    <row r="24" spans="1:18" ht="2.25" customHeight="1" hidden="1">
      <c r="A24" s="30" t="s">
        <v>75</v>
      </c>
      <c r="B24" s="30">
        <v>1090405010</v>
      </c>
      <c r="C24" s="74"/>
      <c r="D24" s="74"/>
      <c r="E24" s="67">
        <f>C24+D24</f>
        <v>0</v>
      </c>
      <c r="F24" s="67"/>
      <c r="G24" s="74"/>
      <c r="H24" s="77">
        <f>G24+M24</f>
        <v>0</v>
      </c>
      <c r="I24" s="68">
        <f t="shared" si="1"/>
        <v>0</v>
      </c>
      <c r="J24" s="68">
        <f t="shared" si="5"/>
        <v>0</v>
      </c>
      <c r="K24" s="74"/>
      <c r="L24" s="68">
        <f t="shared" si="4"/>
        <v>0</v>
      </c>
      <c r="M24" s="74"/>
      <c r="N24" s="74"/>
      <c r="O24" s="68">
        <f t="shared" si="2"/>
        <v>0</v>
      </c>
      <c r="P24" s="74"/>
      <c r="Q24" s="74"/>
      <c r="R24" s="74"/>
    </row>
    <row r="25" spans="1:18" ht="18">
      <c r="A25" s="14" t="s">
        <v>22</v>
      </c>
      <c r="B25" s="32"/>
      <c r="C25" s="88">
        <f aca="true" t="shared" si="10" ref="C25:H25">C26+C29+C33+C30+C32+C31</f>
        <v>395</v>
      </c>
      <c r="D25" s="159">
        <f t="shared" si="10"/>
        <v>43.178</v>
      </c>
      <c r="E25" s="159">
        <f t="shared" si="10"/>
        <v>438.178</v>
      </c>
      <c r="F25" s="88">
        <f t="shared" si="10"/>
        <v>0</v>
      </c>
      <c r="G25" s="88">
        <f>G26+G29+G33+G30+G32+G31</f>
        <v>42.3</v>
      </c>
      <c r="H25" s="88">
        <f t="shared" si="10"/>
        <v>77.99999999999999</v>
      </c>
      <c r="I25" s="66">
        <f t="shared" si="1"/>
        <v>0.1780098498783599</v>
      </c>
      <c r="J25" s="66">
        <f t="shared" si="5"/>
        <v>0</v>
      </c>
      <c r="K25" s="88">
        <f>K26+K29+K33+K30+K32+K31</f>
        <v>66.8</v>
      </c>
      <c r="L25" s="66">
        <f t="shared" si="4"/>
        <v>1.1676646706586824</v>
      </c>
      <c r="M25" s="88">
        <f>M26+M29+M33+M30+M32+M31</f>
        <v>35.7</v>
      </c>
      <c r="N25" s="88">
        <f>N26+N29+N33+N30+N32+N31</f>
        <v>19.7</v>
      </c>
      <c r="O25" s="66">
        <f t="shared" si="2"/>
        <v>1.8121827411167515</v>
      </c>
      <c r="P25" s="78">
        <f>P26+P29+P32</f>
        <v>0</v>
      </c>
      <c r="Q25" s="78">
        <f>Q26+Q29+Q32</f>
        <v>0</v>
      </c>
      <c r="R25" s="78">
        <f>R26+R29+R32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30</v>
      </c>
      <c r="D26" s="74">
        <f t="shared" si="11"/>
        <v>3.178</v>
      </c>
      <c r="E26" s="74">
        <f t="shared" si="11"/>
        <v>33.178</v>
      </c>
      <c r="F26" s="74">
        <f t="shared" si="11"/>
        <v>0</v>
      </c>
      <c r="G26" s="74">
        <f>G27+G28</f>
        <v>1.5</v>
      </c>
      <c r="H26" s="74">
        <f t="shared" si="11"/>
        <v>4.6</v>
      </c>
      <c r="I26" s="89">
        <f t="shared" si="1"/>
        <v>0.13864609078304901</v>
      </c>
      <c r="J26" s="89">
        <f t="shared" si="5"/>
        <v>0</v>
      </c>
      <c r="K26" s="74">
        <f>K27+K28</f>
        <v>3.9</v>
      </c>
      <c r="L26" s="89">
        <f t="shared" si="4"/>
        <v>1.1794871794871795</v>
      </c>
      <c r="M26" s="74">
        <f>M27+M28</f>
        <v>3.1</v>
      </c>
      <c r="N26" s="74">
        <f>N27+N28</f>
        <v>0</v>
      </c>
      <c r="O26" s="89">
        <f t="shared" si="2"/>
        <v>0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3" customHeight="1">
      <c r="A27" s="13" t="s">
        <v>26</v>
      </c>
      <c r="B27" s="13">
        <v>1110501013</v>
      </c>
      <c r="C27" s="73"/>
      <c r="D27" s="70"/>
      <c r="E27" s="73">
        <f>C27+D27</f>
        <v>0</v>
      </c>
      <c r="F27" s="73"/>
      <c r="G27" s="73"/>
      <c r="H27" s="70">
        <f aca="true" t="shared" si="12" ref="H27:H32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30</v>
      </c>
      <c r="D28" s="85">
        <f>3.178</f>
        <v>3.178</v>
      </c>
      <c r="E28" s="73">
        <f>C28+D28</f>
        <v>33.178</v>
      </c>
      <c r="F28" s="73"/>
      <c r="G28" s="73">
        <v>1.5</v>
      </c>
      <c r="H28" s="70">
        <f t="shared" si="12"/>
        <v>4.6</v>
      </c>
      <c r="I28" s="79">
        <f t="shared" si="1"/>
        <v>0.13864609078304901</v>
      </c>
      <c r="J28" s="79">
        <f t="shared" si="5"/>
        <v>0</v>
      </c>
      <c r="K28" s="73">
        <v>3.9</v>
      </c>
      <c r="L28" s="79">
        <f t="shared" si="4"/>
        <v>1.1794871794871795</v>
      </c>
      <c r="M28" s="73">
        <v>3.1</v>
      </c>
      <c r="N28" s="73"/>
      <c r="O28" s="79">
        <f t="shared" si="2"/>
        <v>0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365</v>
      </c>
      <c r="D29" s="74">
        <f>40</f>
        <v>40</v>
      </c>
      <c r="E29" s="74">
        <f>C29+D29</f>
        <v>405</v>
      </c>
      <c r="F29" s="74"/>
      <c r="G29" s="74">
        <v>40.8</v>
      </c>
      <c r="H29" s="75">
        <f t="shared" si="12"/>
        <v>73.3</v>
      </c>
      <c r="I29" s="89">
        <f t="shared" si="1"/>
        <v>0.18098765432098765</v>
      </c>
      <c r="J29" s="89">
        <f t="shared" si="5"/>
        <v>0</v>
      </c>
      <c r="K29" s="74">
        <v>62.8</v>
      </c>
      <c r="L29" s="89">
        <f t="shared" si="4"/>
        <v>1.1671974522292994</v>
      </c>
      <c r="M29" s="74">
        <v>32.5</v>
      </c>
      <c r="N29" s="74">
        <v>19.7</v>
      </c>
      <c r="O29" s="89">
        <f t="shared" si="2"/>
        <v>1.649746192893401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/>
      <c r="E30" s="74">
        <f>C30+D30</f>
        <v>0</v>
      </c>
      <c r="F30" s="74"/>
      <c r="G30" s="74"/>
      <c r="H30" s="75">
        <f t="shared" si="12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/>
      <c r="F31" s="74"/>
      <c r="G31" s="74"/>
      <c r="H31" s="75">
        <f t="shared" si="12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79</v>
      </c>
      <c r="B32" s="30">
        <v>1169005010</v>
      </c>
      <c r="C32" s="74"/>
      <c r="D32" s="74"/>
      <c r="E32" s="75">
        <f>C32+D32</f>
        <v>0</v>
      </c>
      <c r="F32" s="75"/>
      <c r="G32" s="74"/>
      <c r="H32" s="75">
        <f t="shared" si="12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9" ht="18">
      <c r="A33" s="9" t="s">
        <v>71</v>
      </c>
      <c r="B33" s="30">
        <v>1170000000</v>
      </c>
      <c r="C33" s="74">
        <f>SUM(C34:C35)</f>
        <v>0</v>
      </c>
      <c r="D33" s="74">
        <f aca="true" t="shared" si="13" ref="D33:R33">SUM(D34:D35)</f>
        <v>0</v>
      </c>
      <c r="E33" s="74">
        <f t="shared" si="13"/>
        <v>0</v>
      </c>
      <c r="F33" s="74">
        <f t="shared" si="13"/>
        <v>0</v>
      </c>
      <c r="G33" s="74">
        <f>SUM(G34:G35)</f>
        <v>0</v>
      </c>
      <c r="H33" s="74">
        <f t="shared" si="13"/>
        <v>0.1</v>
      </c>
      <c r="I33" s="89">
        <f>IF(E33&gt;0,H33/E33,0)</f>
        <v>0</v>
      </c>
      <c r="J33" s="89">
        <f>IF(F33&gt;0,H33/F33,0)</f>
        <v>0</v>
      </c>
      <c r="K33" s="74">
        <f>SUM(K34:K35)</f>
        <v>0.1</v>
      </c>
      <c r="L33" s="89">
        <f t="shared" si="4"/>
        <v>1</v>
      </c>
      <c r="M33" s="74">
        <f>SUM(M34:M35)</f>
        <v>0.1</v>
      </c>
      <c r="N33" s="74">
        <f>SUM(N34:N35)</f>
        <v>0</v>
      </c>
      <c r="O33" s="74">
        <f t="shared" si="13"/>
        <v>0</v>
      </c>
      <c r="P33" s="74">
        <f t="shared" si="13"/>
        <v>0</v>
      </c>
      <c r="Q33" s="74">
        <f>SUM(Q34:Q35)</f>
        <v>0</v>
      </c>
      <c r="R33" s="74">
        <f t="shared" si="13"/>
        <v>0</v>
      </c>
      <c r="S33" s="135"/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aca="true" t="shared" si="14" ref="O34:O40">IF(N34&gt;0,M34/N34,0)</f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/>
      <c r="H35" s="70">
        <f>G35+M35</f>
        <v>0.1</v>
      </c>
      <c r="I35" s="79">
        <f>IF(E35&gt;0,H35/E35,0)</f>
        <v>0</v>
      </c>
      <c r="J35" s="79">
        <f>IF(F35&gt;0,H35/F35,0)</f>
        <v>0</v>
      </c>
      <c r="K35" s="73">
        <v>0.1</v>
      </c>
      <c r="L35" s="79">
        <f>IF(K35&gt;0,H35/K35,0)</f>
        <v>1</v>
      </c>
      <c r="M35" s="73">
        <v>0.1</v>
      </c>
      <c r="N35" s="73"/>
      <c r="O35" s="79">
        <f t="shared" si="14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0">
        <f aca="true" t="shared" si="15" ref="C36:H36">C5+C25</f>
        <v>1140.8000000000002</v>
      </c>
      <c r="D36" s="80">
        <f t="shared" si="15"/>
        <v>43.178</v>
      </c>
      <c r="E36" s="80">
        <f t="shared" si="15"/>
        <v>1183.978</v>
      </c>
      <c r="F36" s="81">
        <f t="shared" si="15"/>
        <v>0</v>
      </c>
      <c r="G36" s="81">
        <f>G5+G25</f>
        <v>131.10000000000002</v>
      </c>
      <c r="H36" s="81">
        <f t="shared" si="15"/>
        <v>228.39999999999998</v>
      </c>
      <c r="I36" s="82">
        <f t="shared" si="1"/>
        <v>0.1929089898629873</v>
      </c>
      <c r="J36" s="82">
        <f t="shared" si="5"/>
        <v>0</v>
      </c>
      <c r="K36" s="81">
        <f>K5+K25</f>
        <v>222.8</v>
      </c>
      <c r="L36" s="82">
        <f t="shared" si="4"/>
        <v>1.0251346499102332</v>
      </c>
      <c r="M36" s="81">
        <f>M5+M25</f>
        <v>97.3</v>
      </c>
      <c r="N36" s="81">
        <f>N5+N25</f>
        <v>93.50000000000001</v>
      </c>
      <c r="O36" s="82">
        <f t="shared" si="14"/>
        <v>1.0406417112299464</v>
      </c>
      <c r="P36" s="81">
        <f>P5+P25</f>
        <v>38.4</v>
      </c>
      <c r="Q36" s="81">
        <f>Q5+Q25</f>
        <v>24.900000000000002</v>
      </c>
      <c r="R36" s="81">
        <f>R5+R25</f>
        <v>24.4</v>
      </c>
    </row>
    <row r="37" spans="1:18" ht="18">
      <c r="A37" s="9" t="s">
        <v>94</v>
      </c>
      <c r="B37" s="9"/>
      <c r="C37" s="81">
        <f aca="true" t="shared" si="16" ref="C37:H37">C36-C11</f>
        <v>894.3000000000002</v>
      </c>
      <c r="D37" s="80">
        <f t="shared" si="16"/>
        <v>43.178</v>
      </c>
      <c r="E37" s="80">
        <f t="shared" si="16"/>
        <v>937.4780000000001</v>
      </c>
      <c r="F37" s="81">
        <f t="shared" si="16"/>
        <v>0</v>
      </c>
      <c r="G37" s="81">
        <f>G36-G11</f>
        <v>103.60000000000002</v>
      </c>
      <c r="H37" s="81">
        <f t="shared" si="16"/>
        <v>169.49999999999997</v>
      </c>
      <c r="I37" s="82">
        <f>IF(E37&gt;0,H37/E37,0)</f>
        <v>0.18080424287289937</v>
      </c>
      <c r="J37" s="82">
        <f>IF(F37&gt;0,H37/F37,0)</f>
        <v>0</v>
      </c>
      <c r="K37" s="81">
        <f>K36-K11</f>
        <v>165.3</v>
      </c>
      <c r="L37" s="82">
        <f t="shared" si="4"/>
        <v>1.02540834845735</v>
      </c>
      <c r="M37" s="81">
        <f>M36-M11</f>
        <v>65.9</v>
      </c>
      <c r="N37" s="81">
        <f>N36-N11</f>
        <v>57.100000000000016</v>
      </c>
      <c r="O37" s="82">
        <f t="shared" si="14"/>
        <v>1.1541155866900172</v>
      </c>
      <c r="P37" s="81"/>
      <c r="Q37" s="81"/>
      <c r="R37" s="81"/>
    </row>
    <row r="38" spans="1:18" ht="18">
      <c r="A38" s="13" t="s">
        <v>37</v>
      </c>
      <c r="B38" s="13">
        <v>2000000000</v>
      </c>
      <c r="C38" s="73">
        <v>1109.002</v>
      </c>
      <c r="D38" s="70">
        <f>2</f>
        <v>2</v>
      </c>
      <c r="E38" s="83">
        <f>C38+D38</f>
        <v>1111.002</v>
      </c>
      <c r="F38" s="69"/>
      <c r="G38" s="73">
        <v>372.1</v>
      </c>
      <c r="H38" s="70">
        <f>G38+M38</f>
        <v>438.5</v>
      </c>
      <c r="I38" s="72">
        <f t="shared" si="1"/>
        <v>0.3946887584360784</v>
      </c>
      <c r="J38" s="72">
        <f t="shared" si="5"/>
        <v>0</v>
      </c>
      <c r="K38" s="73">
        <v>185.7</v>
      </c>
      <c r="L38" s="72">
        <f t="shared" si="4"/>
        <v>2.3613354873451806</v>
      </c>
      <c r="M38" s="73">
        <v>66.4</v>
      </c>
      <c r="N38" s="73">
        <v>54.1</v>
      </c>
      <c r="O38" s="72">
        <f t="shared" si="14"/>
        <v>1.2273567467652495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>
        <v>25</v>
      </c>
      <c r="D39" s="70"/>
      <c r="E39" s="69">
        <f>C39+D39</f>
        <v>25</v>
      </c>
      <c r="F39" s="69"/>
      <c r="G39" s="73">
        <v>2.5</v>
      </c>
      <c r="H39" s="70">
        <f>G39+M39</f>
        <v>96.4</v>
      </c>
      <c r="I39" s="72">
        <f>IF(E39&gt;0,H39/E39,0)</f>
        <v>3.8560000000000003</v>
      </c>
      <c r="J39" s="72">
        <f>IF(F39&gt;0,H39/F39,0)</f>
        <v>0</v>
      </c>
      <c r="K39" s="73">
        <v>133.7</v>
      </c>
      <c r="L39" s="72">
        <f t="shared" si="4"/>
        <v>0.7210172026925955</v>
      </c>
      <c r="M39" s="73">
        <v>93.9</v>
      </c>
      <c r="N39" s="73">
        <v>131.7</v>
      </c>
      <c r="O39" s="72">
        <f t="shared" si="14"/>
        <v>0.7129840546697039</v>
      </c>
      <c r="P39" s="73"/>
      <c r="Q39" s="73"/>
      <c r="R39" s="73"/>
    </row>
    <row r="40" spans="1:18" ht="18">
      <c r="A40" s="9" t="s">
        <v>2</v>
      </c>
      <c r="B40" s="9">
        <v>0</v>
      </c>
      <c r="C40" s="80">
        <f aca="true" t="shared" si="17" ref="C40:H40">C36+C38+C39</f>
        <v>2274.802</v>
      </c>
      <c r="D40" s="80">
        <f t="shared" si="17"/>
        <v>45.178</v>
      </c>
      <c r="E40" s="80">
        <f t="shared" si="17"/>
        <v>2319.98</v>
      </c>
      <c r="F40" s="81">
        <f t="shared" si="17"/>
        <v>0</v>
      </c>
      <c r="G40" s="81">
        <f t="shared" si="17"/>
        <v>505.70000000000005</v>
      </c>
      <c r="H40" s="81">
        <f t="shared" si="17"/>
        <v>763.3</v>
      </c>
      <c r="I40" s="82">
        <f t="shared" si="1"/>
        <v>0.3290114569953189</v>
      </c>
      <c r="J40" s="82">
        <f t="shared" si="5"/>
        <v>0</v>
      </c>
      <c r="K40" s="81">
        <f>K36+K38+K39</f>
        <v>542.2</v>
      </c>
      <c r="L40" s="82">
        <f t="shared" si="4"/>
        <v>1.4077831058649943</v>
      </c>
      <c r="M40" s="90">
        <f>M36+M38+M39</f>
        <v>257.6</v>
      </c>
      <c r="N40" s="81">
        <f>N36+N38+N39</f>
        <v>279.3</v>
      </c>
      <c r="O40" s="82">
        <f t="shared" si="14"/>
        <v>0.9223057644110276</v>
      </c>
      <c r="P40" s="81">
        <f>P36+P38</f>
        <v>38.4</v>
      </c>
      <c r="Q40" s="81">
        <f>Q36+Q38</f>
        <v>24.900000000000002</v>
      </c>
      <c r="R40" s="81">
        <f>R36+R38</f>
        <v>24.4</v>
      </c>
    </row>
  </sheetData>
  <sheetProtection/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0.253906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9.75390625" style="0" customWidth="1"/>
    <col min="17" max="18" width="9.625" style="0" customWidth="1"/>
  </cols>
  <sheetData>
    <row r="1" spans="1:18" ht="15.75">
      <c r="A1" s="26"/>
      <c r="B1" s="48"/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26"/>
      <c r="Q1" s="26"/>
      <c r="R1" s="26"/>
    </row>
    <row r="2" spans="1:18" ht="15.75">
      <c r="A2" s="26"/>
      <c r="B2" s="175" t="s">
        <v>127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4" t="s">
        <v>3</v>
      </c>
      <c r="B3" s="164" t="s">
        <v>4</v>
      </c>
      <c r="C3" s="164" t="s">
        <v>114</v>
      </c>
      <c r="D3" s="164" t="s">
        <v>24</v>
      </c>
      <c r="E3" s="164" t="s">
        <v>115</v>
      </c>
      <c r="F3" s="164" t="s">
        <v>101</v>
      </c>
      <c r="G3" s="164" t="s">
        <v>118</v>
      </c>
      <c r="H3" s="164" t="s">
        <v>116</v>
      </c>
      <c r="I3" s="164"/>
      <c r="J3" s="164"/>
      <c r="K3" s="164" t="s">
        <v>108</v>
      </c>
      <c r="L3" s="164"/>
      <c r="M3" s="164" t="s">
        <v>121</v>
      </c>
      <c r="N3" s="164" t="s">
        <v>122</v>
      </c>
      <c r="O3" s="164" t="s">
        <v>30</v>
      </c>
      <c r="P3" s="164" t="s">
        <v>9</v>
      </c>
      <c r="Q3" s="164"/>
      <c r="R3" s="164"/>
    </row>
    <row r="4" spans="1:18" ht="93.75" customHeight="1">
      <c r="A4" s="174"/>
      <c r="B4" s="174"/>
      <c r="C4" s="164"/>
      <c r="D4" s="164"/>
      <c r="E4" s="164"/>
      <c r="F4" s="164"/>
      <c r="G4" s="164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4"/>
      <c r="N4" s="164"/>
      <c r="O4" s="164"/>
      <c r="P4" s="124" t="s">
        <v>117</v>
      </c>
      <c r="Q4" s="124" t="s">
        <v>119</v>
      </c>
      <c r="R4" s="124" t="s">
        <v>123</v>
      </c>
    </row>
    <row r="5" spans="1:18" ht="19.5" customHeight="1">
      <c r="A5" s="29" t="s">
        <v>21</v>
      </c>
      <c r="B5" s="29"/>
      <c r="C5" s="91">
        <f aca="true" t="shared" si="0" ref="C5:H5">C6+C16+C18+C23+C24+C11</f>
        <v>1202.5</v>
      </c>
      <c r="D5" s="91">
        <f t="shared" si="0"/>
        <v>507.228</v>
      </c>
      <c r="E5" s="148">
        <f t="shared" si="0"/>
        <v>1709.728</v>
      </c>
      <c r="F5" s="91">
        <f t="shared" si="0"/>
        <v>0</v>
      </c>
      <c r="G5" s="91">
        <f t="shared" si="0"/>
        <v>140.3</v>
      </c>
      <c r="H5" s="91">
        <f t="shared" si="0"/>
        <v>261.4</v>
      </c>
      <c r="I5" s="92">
        <f aca="true" t="shared" si="1" ref="I5:I41">IF(E5&gt;0,H5/E5,0)</f>
        <v>0.1528898163918471</v>
      </c>
      <c r="J5" s="92">
        <f>IF(F5&gt;0,H5/F5,0)</f>
        <v>0</v>
      </c>
      <c r="K5" s="91">
        <f>K6+K16+K18+K23+K24+K11</f>
        <v>265.1</v>
      </c>
      <c r="L5" s="92">
        <f>IF(K5&gt;0,H5/K5,0)</f>
        <v>0.9860430026405128</v>
      </c>
      <c r="M5" s="91">
        <f>M6+M16+M18+M23+M24+M11</f>
        <v>121.1</v>
      </c>
      <c r="N5" s="91">
        <f>N6+N16+N18+N23+N24+N11</f>
        <v>130.20000000000002</v>
      </c>
      <c r="O5" s="92">
        <f aca="true" t="shared" si="2" ref="O5:O34">IF(N5&gt;0,M5/N5,0)</f>
        <v>0.9301075268817203</v>
      </c>
      <c r="P5" s="91">
        <f>P6+P16+P18+P23+P24+P11</f>
        <v>220.70000000000002</v>
      </c>
      <c r="Q5" s="91">
        <f>Q6+Q16+Q18+Q23+Q24+Q11</f>
        <v>67</v>
      </c>
      <c r="R5" s="91">
        <f>R6+R16+R18+R23+R24+R11</f>
        <v>80.69999999999999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531.9</v>
      </c>
      <c r="D6" s="74">
        <f t="shared" si="3"/>
        <v>507.228</v>
      </c>
      <c r="E6" s="74">
        <f t="shared" si="3"/>
        <v>1039.128</v>
      </c>
      <c r="F6" s="74">
        <f t="shared" si="3"/>
        <v>0</v>
      </c>
      <c r="G6" s="74">
        <f t="shared" si="3"/>
        <v>74.9</v>
      </c>
      <c r="H6" s="74">
        <f t="shared" si="3"/>
        <v>119.50000000000001</v>
      </c>
      <c r="I6" s="89">
        <f t="shared" si="1"/>
        <v>0.11500026945669833</v>
      </c>
      <c r="J6" s="89">
        <f>IF(F6&gt;0,H6/F6,0)</f>
        <v>0</v>
      </c>
      <c r="K6" s="74">
        <f>K7+K8+K9+K10</f>
        <v>116.5</v>
      </c>
      <c r="L6" s="89">
        <f aca="true" t="shared" si="4" ref="L6:L41">IF(K6&gt;0,H6/K6,0)</f>
        <v>1.0257510729613735</v>
      </c>
      <c r="M6" s="74">
        <f>M7+M8+M9+M10</f>
        <v>44.6</v>
      </c>
      <c r="N6" s="74">
        <f>N7+N8+N9+N10</f>
        <v>49.9</v>
      </c>
      <c r="O6" s="89">
        <f t="shared" si="2"/>
        <v>0.8937875751503006</v>
      </c>
      <c r="P6" s="74">
        <f>P7+P8+P9+P10</f>
        <v>0.1</v>
      </c>
      <c r="Q6" s="74">
        <f>Q7+Q8+Q9+Q10</f>
        <v>0.1</v>
      </c>
      <c r="R6" s="74">
        <f>R7+R8+R9+R10</f>
        <v>19.4</v>
      </c>
    </row>
    <row r="7" spans="1:18" ht="18" customHeight="1">
      <c r="A7" s="10" t="s">
        <v>46</v>
      </c>
      <c r="B7" s="13">
        <v>1010201001</v>
      </c>
      <c r="C7" s="73">
        <v>528.3</v>
      </c>
      <c r="D7" s="85">
        <f>507.228</f>
        <v>507.228</v>
      </c>
      <c r="E7" s="73">
        <f>C7+D7</f>
        <v>1035.528</v>
      </c>
      <c r="F7" s="73"/>
      <c r="G7" s="70">
        <v>74.9</v>
      </c>
      <c r="H7" s="70">
        <f>G7+M7</f>
        <v>119.30000000000001</v>
      </c>
      <c r="I7" s="79">
        <f t="shared" si="1"/>
        <v>0.11520692825302649</v>
      </c>
      <c r="J7" s="79">
        <f aca="true" t="shared" si="5" ref="J7:J41">IF(F7&gt;0,H7/F7,0)</f>
        <v>0</v>
      </c>
      <c r="K7" s="70">
        <v>116.4</v>
      </c>
      <c r="L7" s="79">
        <f t="shared" si="4"/>
        <v>1.0249140893470792</v>
      </c>
      <c r="M7" s="70">
        <v>44.4</v>
      </c>
      <c r="N7" s="70">
        <v>49.8</v>
      </c>
      <c r="O7" s="79">
        <f t="shared" si="2"/>
        <v>0.891566265060241</v>
      </c>
      <c r="P7" s="73">
        <v>0.1</v>
      </c>
      <c r="Q7" s="73">
        <v>0.1</v>
      </c>
      <c r="R7" s="73">
        <v>19.4</v>
      </c>
    </row>
    <row r="8" spans="1:18" ht="17.25" customHeight="1">
      <c r="A8" s="10" t="s">
        <v>45</v>
      </c>
      <c r="B8" s="13">
        <v>1010202001</v>
      </c>
      <c r="C8" s="73"/>
      <c r="D8" s="70"/>
      <c r="E8" s="73">
        <f>C8+D8</f>
        <v>0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7.25" customHeight="1">
      <c r="A9" s="10" t="s">
        <v>43</v>
      </c>
      <c r="B9" s="13">
        <v>1010203001</v>
      </c>
      <c r="C9" s="73">
        <v>3.6</v>
      </c>
      <c r="D9" s="73"/>
      <c r="E9" s="73">
        <f>C9+D9</f>
        <v>3.6</v>
      </c>
      <c r="F9" s="73"/>
      <c r="G9" s="73"/>
      <c r="H9" s="70">
        <f>G9+M9</f>
        <v>0.2</v>
      </c>
      <c r="I9" s="79">
        <f t="shared" si="1"/>
        <v>0.05555555555555556</v>
      </c>
      <c r="J9" s="79">
        <f t="shared" si="5"/>
        <v>0</v>
      </c>
      <c r="K9" s="73">
        <v>0.1</v>
      </c>
      <c r="L9" s="79">
        <f t="shared" si="4"/>
        <v>2</v>
      </c>
      <c r="M9" s="73">
        <v>0.2</v>
      </c>
      <c r="N9" s="73">
        <v>0.1</v>
      </c>
      <c r="O9" s="79">
        <f t="shared" si="2"/>
        <v>2</v>
      </c>
      <c r="P9" s="73"/>
      <c r="Q9" s="73"/>
      <c r="R9" s="73"/>
    </row>
    <row r="10" spans="1:18" ht="0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18" customHeight="1">
      <c r="A11" s="11" t="s">
        <v>50</v>
      </c>
      <c r="B11" s="19">
        <v>1030200001</v>
      </c>
      <c r="C11" s="74">
        <f aca="true" t="shared" si="6" ref="C11:H11">SUM(C12:C15)</f>
        <v>537.6</v>
      </c>
      <c r="D11" s="74">
        <f t="shared" si="6"/>
        <v>0</v>
      </c>
      <c r="E11" s="74">
        <f t="shared" si="6"/>
        <v>537.6</v>
      </c>
      <c r="F11" s="74"/>
      <c r="G11" s="74">
        <f>SUM(G12:G15)</f>
        <v>60.10000000000001</v>
      </c>
      <c r="H11" s="74">
        <f t="shared" si="6"/>
        <v>128.6</v>
      </c>
      <c r="I11" s="68">
        <f t="shared" si="1"/>
        <v>0.2392113095238095</v>
      </c>
      <c r="J11" s="68">
        <f>IF(F11&gt;0,H11/F11,0)</f>
        <v>0</v>
      </c>
      <c r="K11" s="74">
        <f>SUM(K12:K15)</f>
        <v>125.6</v>
      </c>
      <c r="L11" s="68">
        <f t="shared" si="4"/>
        <v>1.0238853503184713</v>
      </c>
      <c r="M11" s="74">
        <f>SUM(M12:M15)</f>
        <v>68.5</v>
      </c>
      <c r="N11" s="74">
        <f>SUM(N12:N15)</f>
        <v>79.30000000000001</v>
      </c>
      <c r="O11" s="68">
        <f t="shared" si="2"/>
        <v>0.8638083228247161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9.5" customHeight="1">
      <c r="A12" s="12" t="s">
        <v>51</v>
      </c>
      <c r="B12" s="12">
        <v>1030223001</v>
      </c>
      <c r="C12" s="73">
        <v>189.1</v>
      </c>
      <c r="D12" s="73"/>
      <c r="E12" s="69">
        <f>C12+D12</f>
        <v>189.1</v>
      </c>
      <c r="F12" s="69"/>
      <c r="G12" s="73">
        <v>25.2</v>
      </c>
      <c r="H12" s="71">
        <f>G12+M12</f>
        <v>53</v>
      </c>
      <c r="I12" s="72">
        <f t="shared" si="1"/>
        <v>0.28027498677948176</v>
      </c>
      <c r="J12" s="72"/>
      <c r="K12" s="73">
        <v>46.7</v>
      </c>
      <c r="L12" s="72">
        <f t="shared" si="4"/>
        <v>1.1349036402569592</v>
      </c>
      <c r="M12" s="73">
        <v>27.8</v>
      </c>
      <c r="N12" s="73">
        <v>30.3</v>
      </c>
      <c r="O12" s="72">
        <f t="shared" si="2"/>
        <v>0.9174917491749175</v>
      </c>
      <c r="P12" s="73"/>
      <c r="Q12" s="73"/>
      <c r="R12" s="73"/>
    </row>
    <row r="13" spans="1:18" ht="17.25" customHeight="1">
      <c r="A13" s="12" t="s">
        <v>52</v>
      </c>
      <c r="B13" s="12">
        <v>1030224001</v>
      </c>
      <c r="C13" s="73">
        <v>1.6</v>
      </c>
      <c r="D13" s="73"/>
      <c r="E13" s="69">
        <f>C13+D13</f>
        <v>1.6</v>
      </c>
      <c r="F13" s="69"/>
      <c r="G13" s="73">
        <v>0.1</v>
      </c>
      <c r="H13" s="71">
        <f>G13+M13</f>
        <v>0.30000000000000004</v>
      </c>
      <c r="I13" s="72">
        <f t="shared" si="1"/>
        <v>0.18750000000000003</v>
      </c>
      <c r="J13" s="72"/>
      <c r="K13" s="73">
        <v>0.5</v>
      </c>
      <c r="L13" s="72">
        <f t="shared" si="4"/>
        <v>0.6000000000000001</v>
      </c>
      <c r="M13" s="73">
        <v>0.2</v>
      </c>
      <c r="N13" s="73">
        <v>0.3</v>
      </c>
      <c r="O13" s="72">
        <f t="shared" si="2"/>
        <v>0.6666666666666667</v>
      </c>
      <c r="P13" s="73"/>
      <c r="Q13" s="73"/>
      <c r="R13" s="73"/>
    </row>
    <row r="14" spans="1:18" ht="18" customHeight="1">
      <c r="A14" s="12" t="s">
        <v>92</v>
      </c>
      <c r="B14" s="12">
        <v>1030225001</v>
      </c>
      <c r="C14" s="73">
        <v>382.3</v>
      </c>
      <c r="D14" s="73"/>
      <c r="E14" s="69">
        <f>C14+D14</f>
        <v>382.3</v>
      </c>
      <c r="F14" s="69"/>
      <c r="G14" s="73">
        <v>41.1</v>
      </c>
      <c r="H14" s="71">
        <f>G14+M14</f>
        <v>86.2</v>
      </c>
      <c r="I14" s="72">
        <f t="shared" si="1"/>
        <v>0.2254773737902171</v>
      </c>
      <c r="J14" s="72"/>
      <c r="K14" s="73">
        <v>87</v>
      </c>
      <c r="L14" s="72">
        <f t="shared" si="4"/>
        <v>0.9908045977011495</v>
      </c>
      <c r="M14" s="73">
        <v>45.1</v>
      </c>
      <c r="N14" s="73">
        <v>54.8</v>
      </c>
      <c r="O14" s="72">
        <f t="shared" si="2"/>
        <v>0.822992700729927</v>
      </c>
      <c r="P14" s="73"/>
      <c r="Q14" s="73"/>
      <c r="R14" s="73"/>
    </row>
    <row r="15" spans="1:18" ht="17.25" customHeight="1">
      <c r="A15" s="12" t="s">
        <v>54</v>
      </c>
      <c r="B15" s="12">
        <v>1030226001</v>
      </c>
      <c r="C15" s="73">
        <v>-35.4</v>
      </c>
      <c r="D15" s="73"/>
      <c r="E15" s="69">
        <f>C15+D15</f>
        <v>-35.4</v>
      </c>
      <c r="F15" s="69"/>
      <c r="G15" s="73">
        <v>-6.3</v>
      </c>
      <c r="H15" s="71">
        <f>G15+M15</f>
        <v>-10.899999999999999</v>
      </c>
      <c r="I15" s="72">
        <f t="shared" si="1"/>
        <v>0</v>
      </c>
      <c r="J15" s="72"/>
      <c r="K15" s="73">
        <v>-8.6</v>
      </c>
      <c r="L15" s="72">
        <f t="shared" si="4"/>
        <v>0</v>
      </c>
      <c r="M15" s="73">
        <v>-4.6</v>
      </c>
      <c r="N15" s="73">
        <v>-6.1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0</v>
      </c>
      <c r="D16" s="75">
        <f t="shared" si="7"/>
        <v>0</v>
      </c>
      <c r="E16" s="75">
        <f t="shared" si="7"/>
        <v>0</v>
      </c>
      <c r="F16" s="75">
        <f t="shared" si="7"/>
        <v>0</v>
      </c>
      <c r="G16" s="74">
        <f>G17</f>
        <v>0</v>
      </c>
      <c r="H16" s="75">
        <f t="shared" si="7"/>
        <v>0</v>
      </c>
      <c r="I16" s="89">
        <f t="shared" si="1"/>
        <v>0</v>
      </c>
      <c r="J16" s="89">
        <f t="shared" si="5"/>
        <v>0</v>
      </c>
      <c r="K16" s="74">
        <f>K17</f>
        <v>0</v>
      </c>
      <c r="L16" s="89">
        <f t="shared" si="4"/>
        <v>0</v>
      </c>
      <c r="M16" s="74">
        <f>M17</f>
        <v>0</v>
      </c>
      <c r="N16" s="74">
        <f>N17</f>
        <v>0</v>
      </c>
      <c r="O16" s="89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/>
      <c r="D17" s="70"/>
      <c r="E17" s="73">
        <f>C17+D17</f>
        <v>0</v>
      </c>
      <c r="F17" s="73"/>
      <c r="G17" s="73"/>
      <c r="H17" s="70">
        <f>G17+M17</f>
        <v>0</v>
      </c>
      <c r="I17" s="79">
        <f t="shared" si="1"/>
        <v>0</v>
      </c>
      <c r="J17" s="79">
        <f t="shared" si="5"/>
        <v>0</v>
      </c>
      <c r="K17" s="73"/>
      <c r="L17" s="79">
        <f t="shared" si="4"/>
        <v>0</v>
      </c>
      <c r="M17" s="73"/>
      <c r="N17" s="73"/>
      <c r="O17" s="79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130</v>
      </c>
      <c r="D18" s="75">
        <f t="shared" si="8"/>
        <v>0</v>
      </c>
      <c r="E18" s="75">
        <f t="shared" si="8"/>
        <v>130</v>
      </c>
      <c r="F18" s="75">
        <f t="shared" si="8"/>
        <v>0</v>
      </c>
      <c r="G18" s="74">
        <f>G19+G22</f>
        <v>7.6</v>
      </c>
      <c r="H18" s="75">
        <f t="shared" si="8"/>
        <v>15.2</v>
      </c>
      <c r="I18" s="89">
        <f t="shared" si="1"/>
        <v>0.11692307692307692</v>
      </c>
      <c r="J18" s="89">
        <f t="shared" si="5"/>
        <v>0</v>
      </c>
      <c r="K18" s="74">
        <f>K19+K22</f>
        <v>20.900000000000002</v>
      </c>
      <c r="L18" s="89">
        <f t="shared" si="4"/>
        <v>0.7272727272727272</v>
      </c>
      <c r="M18" s="74">
        <f>M19+M22</f>
        <v>7.6000000000000005</v>
      </c>
      <c r="N18" s="74">
        <f>N19+N22</f>
        <v>0.30000000000000004</v>
      </c>
      <c r="O18" s="89">
        <f t="shared" si="2"/>
        <v>25.333333333333332</v>
      </c>
      <c r="P18" s="74">
        <f>P19+P22</f>
        <v>220.60000000000002</v>
      </c>
      <c r="Q18" s="74">
        <f>Q19+Q22</f>
        <v>66.9</v>
      </c>
      <c r="R18" s="74">
        <f>R19+R22</f>
        <v>61.3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102</v>
      </c>
      <c r="D19" s="70">
        <f t="shared" si="9"/>
        <v>0</v>
      </c>
      <c r="E19" s="70">
        <f t="shared" si="9"/>
        <v>102</v>
      </c>
      <c r="F19" s="70">
        <f t="shared" si="9"/>
        <v>0</v>
      </c>
      <c r="G19" s="73">
        <f>G20+G21</f>
        <v>11.6</v>
      </c>
      <c r="H19" s="70">
        <f t="shared" si="9"/>
        <v>19</v>
      </c>
      <c r="I19" s="79">
        <f t="shared" si="1"/>
        <v>0.18627450980392157</v>
      </c>
      <c r="J19" s="79">
        <f t="shared" si="5"/>
        <v>0</v>
      </c>
      <c r="K19" s="73">
        <f>K20+K21</f>
        <v>20.6</v>
      </c>
      <c r="L19" s="79">
        <f t="shared" si="4"/>
        <v>0.9223300970873786</v>
      </c>
      <c r="M19" s="73">
        <f>M20+M21</f>
        <v>7.4</v>
      </c>
      <c r="N19" s="73">
        <f>N20+N21</f>
        <v>0.2</v>
      </c>
      <c r="O19" s="79">
        <f t="shared" si="2"/>
        <v>37</v>
      </c>
      <c r="P19" s="73">
        <f>P20+P21</f>
        <v>54.800000000000004</v>
      </c>
      <c r="Q19" s="73">
        <f>Q20+Q21</f>
        <v>60.2</v>
      </c>
      <c r="R19" s="73">
        <f>R20+R21</f>
        <v>54.8</v>
      </c>
    </row>
    <row r="20" spans="1:18" ht="18">
      <c r="A20" s="13" t="s">
        <v>102</v>
      </c>
      <c r="B20" s="13">
        <v>1060603310</v>
      </c>
      <c r="C20" s="73">
        <v>66</v>
      </c>
      <c r="D20" s="70"/>
      <c r="E20" s="73">
        <f>C20+D20</f>
        <v>66</v>
      </c>
      <c r="F20" s="73"/>
      <c r="G20" s="73">
        <v>10.4</v>
      </c>
      <c r="H20" s="70">
        <f>G20+M20</f>
        <v>10.8</v>
      </c>
      <c r="I20" s="79">
        <f t="shared" si="1"/>
        <v>0.16363636363636364</v>
      </c>
      <c r="J20" s="79">
        <f t="shared" si="5"/>
        <v>0</v>
      </c>
      <c r="K20" s="73">
        <v>19.3</v>
      </c>
      <c r="L20" s="79">
        <f t="shared" si="4"/>
        <v>0.5595854922279793</v>
      </c>
      <c r="M20" s="73">
        <v>0.4</v>
      </c>
      <c r="N20" s="73"/>
      <c r="O20" s="79">
        <f t="shared" si="2"/>
        <v>0</v>
      </c>
      <c r="P20" s="73">
        <v>16.1</v>
      </c>
      <c r="Q20" s="73">
        <v>32.5</v>
      </c>
      <c r="R20" s="73">
        <v>32.1</v>
      </c>
    </row>
    <row r="21" spans="1:18" ht="18">
      <c r="A21" s="13" t="s">
        <v>103</v>
      </c>
      <c r="B21" s="13">
        <v>1060604310</v>
      </c>
      <c r="C21" s="73">
        <v>36</v>
      </c>
      <c r="D21" s="70"/>
      <c r="E21" s="73">
        <f>C21+D21</f>
        <v>36</v>
      </c>
      <c r="F21" s="73"/>
      <c r="G21" s="73">
        <v>1.2</v>
      </c>
      <c r="H21" s="70">
        <f>G21+M21</f>
        <v>8.2</v>
      </c>
      <c r="I21" s="79">
        <f t="shared" si="1"/>
        <v>0.22777777777777775</v>
      </c>
      <c r="J21" s="79">
        <f t="shared" si="5"/>
        <v>0</v>
      </c>
      <c r="K21" s="73">
        <v>1.3</v>
      </c>
      <c r="L21" s="79">
        <f t="shared" si="4"/>
        <v>6.307692307692307</v>
      </c>
      <c r="M21" s="73">
        <v>7</v>
      </c>
      <c r="N21" s="73">
        <v>0.2</v>
      </c>
      <c r="O21" s="79">
        <f t="shared" si="2"/>
        <v>35</v>
      </c>
      <c r="P21" s="73">
        <v>38.7</v>
      </c>
      <c r="Q21" s="73">
        <v>27.7</v>
      </c>
      <c r="R21" s="73">
        <v>22.7</v>
      </c>
    </row>
    <row r="22" spans="1:19" ht="18">
      <c r="A22" s="13" t="s">
        <v>12</v>
      </c>
      <c r="B22" s="13">
        <v>1060103010</v>
      </c>
      <c r="C22" s="73">
        <v>28</v>
      </c>
      <c r="D22" s="70"/>
      <c r="E22" s="73">
        <f>C22+D22</f>
        <v>28</v>
      </c>
      <c r="F22" s="73"/>
      <c r="G22" s="73">
        <v>-4</v>
      </c>
      <c r="H22" s="70">
        <f>G22+M22</f>
        <v>-3.8</v>
      </c>
      <c r="I22" s="79">
        <f t="shared" si="1"/>
        <v>-0.1357142857142857</v>
      </c>
      <c r="J22" s="79">
        <f t="shared" si="5"/>
        <v>0</v>
      </c>
      <c r="K22" s="73">
        <v>0.3</v>
      </c>
      <c r="L22" s="79">
        <f t="shared" si="4"/>
        <v>-12.666666666666666</v>
      </c>
      <c r="M22" s="73">
        <v>0.2</v>
      </c>
      <c r="N22" s="73">
        <v>0.1</v>
      </c>
      <c r="O22" s="79">
        <f t="shared" si="2"/>
        <v>2</v>
      </c>
      <c r="P22" s="73">
        <v>165.8</v>
      </c>
      <c r="Q22" s="73">
        <v>6.7</v>
      </c>
      <c r="R22" s="73">
        <v>6.5</v>
      </c>
      <c r="S22" s="134"/>
    </row>
    <row r="23" spans="1:18" ht="18">
      <c r="A23" s="9" t="s">
        <v>74</v>
      </c>
      <c r="B23" s="30">
        <v>1080402001</v>
      </c>
      <c r="C23" s="74">
        <v>3</v>
      </c>
      <c r="D23" s="75"/>
      <c r="E23" s="74">
        <f>C23+D23</f>
        <v>3</v>
      </c>
      <c r="F23" s="74"/>
      <c r="G23" s="74">
        <v>-2.3</v>
      </c>
      <c r="H23" s="75">
        <f>G23+M23</f>
        <v>-1.9</v>
      </c>
      <c r="I23" s="89">
        <f t="shared" si="1"/>
        <v>-0.6333333333333333</v>
      </c>
      <c r="J23" s="89">
        <f t="shared" si="5"/>
        <v>0</v>
      </c>
      <c r="K23" s="74">
        <v>2.1</v>
      </c>
      <c r="L23" s="89">
        <f t="shared" si="4"/>
        <v>-0.9047619047619047</v>
      </c>
      <c r="M23" s="74">
        <v>0.4</v>
      </c>
      <c r="N23" s="74">
        <v>0.7</v>
      </c>
      <c r="O23" s="89">
        <f t="shared" si="2"/>
        <v>0.5714285714285715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8">
        <f aca="true" t="shared" si="10" ref="C25:H25">C26+C30+C34+C32+C33+C31</f>
        <v>110.6</v>
      </c>
      <c r="D25" s="88">
        <f t="shared" si="10"/>
        <v>0</v>
      </c>
      <c r="E25" s="88">
        <f t="shared" si="10"/>
        <v>110.6</v>
      </c>
      <c r="F25" s="88">
        <f t="shared" si="10"/>
        <v>0</v>
      </c>
      <c r="G25" s="88">
        <f>G26+G30+G34+G32+G33+G31</f>
        <v>16</v>
      </c>
      <c r="H25" s="88">
        <f t="shared" si="10"/>
        <v>28.3</v>
      </c>
      <c r="I25" s="92">
        <f t="shared" si="1"/>
        <v>0.25587703435804704</v>
      </c>
      <c r="J25" s="92">
        <f t="shared" si="5"/>
        <v>0</v>
      </c>
      <c r="K25" s="88">
        <f>K26+K30+K34+K32+K33+K31</f>
        <v>38.4</v>
      </c>
      <c r="L25" s="92">
        <f t="shared" si="4"/>
        <v>0.7369791666666667</v>
      </c>
      <c r="M25" s="88">
        <f>M26+M30+M34+M32+M33+M31</f>
        <v>12.3</v>
      </c>
      <c r="N25" s="88">
        <f>N26+N30+N34+N32+N33+N31</f>
        <v>14.7</v>
      </c>
      <c r="O25" s="92">
        <f t="shared" si="2"/>
        <v>0.8367346938775511</v>
      </c>
      <c r="P25" s="78">
        <f>P26+P30+P33</f>
        <v>0</v>
      </c>
      <c r="Q25" s="78">
        <f>Q26+Q30+Q33</f>
        <v>0</v>
      </c>
      <c r="R25" s="78">
        <f>R26+R30+R33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C27+C29+C28</f>
        <v>47</v>
      </c>
      <c r="D26" s="74">
        <f t="shared" si="11"/>
        <v>0</v>
      </c>
      <c r="E26" s="74">
        <f t="shared" si="11"/>
        <v>47</v>
      </c>
      <c r="F26" s="74">
        <f t="shared" si="11"/>
        <v>0</v>
      </c>
      <c r="G26" s="74">
        <f>G27+G29+G28</f>
        <v>8.7</v>
      </c>
      <c r="H26" s="74">
        <f t="shared" si="11"/>
        <v>10.5</v>
      </c>
      <c r="I26" s="89">
        <f t="shared" si="1"/>
        <v>0.22340425531914893</v>
      </c>
      <c r="J26" s="89">
        <f t="shared" si="5"/>
        <v>0</v>
      </c>
      <c r="K26" s="74">
        <f>K27+K29+K28</f>
        <v>16</v>
      </c>
      <c r="L26" s="89">
        <f t="shared" si="4"/>
        <v>0.65625</v>
      </c>
      <c r="M26" s="74">
        <f>M27+M29+M28</f>
        <v>1.8</v>
      </c>
      <c r="N26" s="74">
        <f>N27+N29+N28</f>
        <v>6.2</v>
      </c>
      <c r="O26" s="89">
        <f t="shared" si="2"/>
        <v>0.2903225806451613</v>
      </c>
      <c r="P26" s="74">
        <f>P27+P29+P28</f>
        <v>0</v>
      </c>
      <c r="Q26" s="74">
        <f>Q27+Q29+Q28</f>
        <v>0</v>
      </c>
      <c r="R26" s="74">
        <f>R27+R29+R28</f>
        <v>0</v>
      </c>
    </row>
    <row r="27" spans="1:18" ht="0.75" customHeight="1">
      <c r="A27" s="13" t="s">
        <v>26</v>
      </c>
      <c r="B27" s="13">
        <v>1110501013</v>
      </c>
      <c r="C27" s="73"/>
      <c r="D27" s="70"/>
      <c r="E27" s="73">
        <f aca="true" t="shared" si="12" ref="E27:E33">C27+D27</f>
        <v>0</v>
      </c>
      <c r="F27" s="73"/>
      <c r="G27" s="73"/>
      <c r="H27" s="70">
        <f aca="true" t="shared" si="13" ref="H27:H33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21" customHeight="1" hidden="1">
      <c r="A28" s="13" t="s">
        <v>27</v>
      </c>
      <c r="B28" s="13">
        <v>1110903510</v>
      </c>
      <c r="C28" s="73"/>
      <c r="D28" s="70"/>
      <c r="E28" s="73">
        <f t="shared" si="12"/>
        <v>0</v>
      </c>
      <c r="F28" s="73"/>
      <c r="G28" s="73"/>
      <c r="H28" s="70">
        <f t="shared" si="13"/>
        <v>0</v>
      </c>
      <c r="I28" s="79">
        <f t="shared" si="1"/>
        <v>0</v>
      </c>
      <c r="J28" s="79">
        <f t="shared" si="5"/>
        <v>0</v>
      </c>
      <c r="K28" s="73"/>
      <c r="L28" s="79">
        <f t="shared" si="4"/>
        <v>0</v>
      </c>
      <c r="M28" s="73"/>
      <c r="N28" s="73"/>
      <c r="O28" s="79">
        <f t="shared" si="2"/>
        <v>0</v>
      </c>
      <c r="P28" s="73"/>
      <c r="Q28" s="73"/>
      <c r="R28" s="73"/>
    </row>
    <row r="29" spans="1:18" ht="22.5" customHeight="1">
      <c r="A29" s="33" t="s">
        <v>23</v>
      </c>
      <c r="B29" s="13">
        <v>1110904510</v>
      </c>
      <c r="C29" s="73">
        <v>47</v>
      </c>
      <c r="D29" s="70"/>
      <c r="E29" s="73">
        <f t="shared" si="12"/>
        <v>47</v>
      </c>
      <c r="F29" s="73"/>
      <c r="G29" s="73">
        <v>8.7</v>
      </c>
      <c r="H29" s="70">
        <f t="shared" si="13"/>
        <v>10.5</v>
      </c>
      <c r="I29" s="79">
        <f t="shared" si="1"/>
        <v>0.22340425531914893</v>
      </c>
      <c r="J29" s="79">
        <f t="shared" si="5"/>
        <v>0</v>
      </c>
      <c r="K29" s="73">
        <v>16</v>
      </c>
      <c r="L29" s="79">
        <f t="shared" si="4"/>
        <v>0.65625</v>
      </c>
      <c r="M29" s="73">
        <v>1.8</v>
      </c>
      <c r="N29" s="73">
        <v>6.2</v>
      </c>
      <c r="O29" s="79">
        <f t="shared" si="2"/>
        <v>0.2903225806451613</v>
      </c>
      <c r="P29" s="73"/>
      <c r="Q29" s="73"/>
      <c r="R29" s="73"/>
    </row>
    <row r="30" spans="1:18" ht="18">
      <c r="A30" s="9" t="s">
        <v>39</v>
      </c>
      <c r="B30" s="30">
        <v>1130299510</v>
      </c>
      <c r="C30" s="74">
        <v>63.6</v>
      </c>
      <c r="D30" s="74"/>
      <c r="E30" s="74">
        <f t="shared" si="12"/>
        <v>63.6</v>
      </c>
      <c r="F30" s="74"/>
      <c r="G30" s="74">
        <v>7.3</v>
      </c>
      <c r="H30" s="75">
        <f t="shared" si="13"/>
        <v>17.8</v>
      </c>
      <c r="I30" s="89">
        <f t="shared" si="1"/>
        <v>0.279874213836478</v>
      </c>
      <c r="J30" s="89">
        <f t="shared" si="5"/>
        <v>0</v>
      </c>
      <c r="K30" s="74">
        <v>22.3</v>
      </c>
      <c r="L30" s="89">
        <f t="shared" si="4"/>
        <v>0.7982062780269058</v>
      </c>
      <c r="M30" s="74">
        <v>10.5</v>
      </c>
      <c r="N30" s="74">
        <v>8.5</v>
      </c>
      <c r="O30" s="89">
        <f t="shared" si="2"/>
        <v>1.2352941176470589</v>
      </c>
      <c r="P30" s="74"/>
      <c r="Q30" s="74"/>
      <c r="R30" s="74"/>
    </row>
    <row r="31" spans="1:18" ht="18">
      <c r="A31" s="9" t="s">
        <v>47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 t="shared" si="1"/>
        <v>0</v>
      </c>
      <c r="J31" s="89"/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80</v>
      </c>
      <c r="B32" s="30">
        <v>1140601410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89">
        <f t="shared" si="1"/>
        <v>0</v>
      </c>
      <c r="J32" s="89">
        <f t="shared" si="5"/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79</v>
      </c>
      <c r="B33" s="30">
        <v>1169005010</v>
      </c>
      <c r="C33" s="74"/>
      <c r="D33" s="74"/>
      <c r="E33" s="74">
        <f t="shared" si="12"/>
        <v>0</v>
      </c>
      <c r="F33" s="74"/>
      <c r="G33" s="74"/>
      <c r="H33" s="75">
        <f t="shared" si="13"/>
        <v>0</v>
      </c>
      <c r="I33" s="89">
        <f>IF(E33&gt;0,H33/E33,0)</f>
        <v>0</v>
      </c>
      <c r="J33" s="89">
        <f>IF(F33&gt;0,H33/F33,0)</f>
        <v>0</v>
      </c>
      <c r="K33" s="74"/>
      <c r="L33" s="89">
        <f t="shared" si="4"/>
        <v>0</v>
      </c>
      <c r="M33" s="74"/>
      <c r="N33" s="74"/>
      <c r="O33" s="89">
        <f t="shared" si="2"/>
        <v>0</v>
      </c>
      <c r="P33" s="74"/>
      <c r="Q33" s="74"/>
      <c r="R33" s="74"/>
    </row>
    <row r="34" spans="1:18" ht="18">
      <c r="A34" s="9" t="s">
        <v>71</v>
      </c>
      <c r="B34" s="30">
        <v>1170000000</v>
      </c>
      <c r="C34" s="75">
        <f aca="true" t="shared" si="14" ref="C34:H34">SUM(C35:C36)</f>
        <v>0</v>
      </c>
      <c r="D34" s="75">
        <f t="shared" si="14"/>
        <v>0</v>
      </c>
      <c r="E34" s="75">
        <f t="shared" si="14"/>
        <v>0</v>
      </c>
      <c r="F34" s="75">
        <f t="shared" si="14"/>
        <v>0</v>
      </c>
      <c r="G34" s="75">
        <f>SUM(G35:G36)</f>
        <v>0</v>
      </c>
      <c r="H34" s="75">
        <f t="shared" si="14"/>
        <v>0</v>
      </c>
      <c r="I34" s="89">
        <f>IF(E34&gt;0,H34/E34,0)</f>
        <v>0</v>
      </c>
      <c r="J34" s="89">
        <f>IF(F34&gt;0,H34/F34,0)</f>
        <v>0</v>
      </c>
      <c r="K34" s="75">
        <f>SUM(K35:K36)</f>
        <v>0.1</v>
      </c>
      <c r="L34" s="89">
        <f t="shared" si="4"/>
        <v>0</v>
      </c>
      <c r="M34" s="75">
        <f>SUM(M35:M36)</f>
        <v>0</v>
      </c>
      <c r="N34" s="75">
        <f>SUM(N35:N36)</f>
        <v>0</v>
      </c>
      <c r="O34" s="89">
        <f t="shared" si="2"/>
        <v>0</v>
      </c>
      <c r="P34" s="75">
        <f>SUM(P35:P36)</f>
        <v>0</v>
      </c>
      <c r="Q34" s="75">
        <f>SUM(Q35:Q36)</f>
        <v>0</v>
      </c>
      <c r="R34" s="75">
        <f>SUM(R35:R36)</f>
        <v>0</v>
      </c>
    </row>
    <row r="35" spans="1:18" ht="18">
      <c r="A35" s="13" t="s">
        <v>8</v>
      </c>
      <c r="B35" s="13">
        <v>1170103003</v>
      </c>
      <c r="C35" s="73"/>
      <c r="D35" s="73"/>
      <c r="E35" s="73">
        <f>C35+D35</f>
        <v>0</v>
      </c>
      <c r="F35" s="73"/>
      <c r="G35" s="73"/>
      <c r="H35" s="70">
        <f>G35+M35</f>
        <v>0</v>
      </c>
      <c r="I35" s="79">
        <f t="shared" si="1"/>
        <v>0</v>
      </c>
      <c r="J35" s="79">
        <f t="shared" si="5"/>
        <v>0</v>
      </c>
      <c r="K35" s="73"/>
      <c r="L35" s="79">
        <f t="shared" si="4"/>
        <v>0</v>
      </c>
      <c r="M35" s="73"/>
      <c r="N35" s="73"/>
      <c r="O35" s="79">
        <f aca="true" t="shared" si="15" ref="O35:O41">IF(N35&gt;0,M35/N35,0)</f>
        <v>0</v>
      </c>
      <c r="P35" s="79"/>
      <c r="Q35" s="79"/>
      <c r="R35" s="79"/>
    </row>
    <row r="36" spans="1:18" ht="18">
      <c r="A36" s="13" t="s">
        <v>34</v>
      </c>
      <c r="B36" s="13">
        <v>1170505010</v>
      </c>
      <c r="C36" s="73"/>
      <c r="D36" s="70"/>
      <c r="E36" s="73">
        <f>C36+D36</f>
        <v>0</v>
      </c>
      <c r="F36" s="73"/>
      <c r="G36" s="73"/>
      <c r="H36" s="70">
        <f>G36+M36</f>
        <v>0</v>
      </c>
      <c r="I36" s="79">
        <f>IF(E36&gt;0,H36/E36,0)</f>
        <v>0</v>
      </c>
      <c r="J36" s="79">
        <f>IF(F36&gt;0,H36/F36,0)</f>
        <v>0</v>
      </c>
      <c r="K36" s="73">
        <v>0.1</v>
      </c>
      <c r="L36" s="79">
        <f>IF(K36&gt;0,H36/K36,0)</f>
        <v>0</v>
      </c>
      <c r="M36" s="73"/>
      <c r="N36" s="73"/>
      <c r="O36" s="79">
        <f t="shared" si="15"/>
        <v>0</v>
      </c>
      <c r="P36" s="73"/>
      <c r="Q36" s="73"/>
      <c r="R36" s="73"/>
    </row>
    <row r="37" spans="1:19" ht="18">
      <c r="A37" s="9" t="s">
        <v>6</v>
      </c>
      <c r="B37" s="9">
        <v>1000000000</v>
      </c>
      <c r="C37" s="81">
        <f aca="true" t="shared" si="16" ref="C37:H37">C5+C25</f>
        <v>1313.1</v>
      </c>
      <c r="D37" s="80">
        <f t="shared" si="16"/>
        <v>507.228</v>
      </c>
      <c r="E37" s="80">
        <f t="shared" si="16"/>
        <v>1820.328</v>
      </c>
      <c r="F37" s="81">
        <f t="shared" si="16"/>
        <v>0</v>
      </c>
      <c r="G37" s="81">
        <f>G5+G25</f>
        <v>156.3</v>
      </c>
      <c r="H37" s="81">
        <f t="shared" si="16"/>
        <v>289.7</v>
      </c>
      <c r="I37" s="93">
        <f t="shared" si="1"/>
        <v>0.15914714271274188</v>
      </c>
      <c r="J37" s="93">
        <f t="shared" si="5"/>
        <v>0</v>
      </c>
      <c r="K37" s="81">
        <f>K5+K25</f>
        <v>303.5</v>
      </c>
      <c r="L37" s="93">
        <f t="shared" si="4"/>
        <v>0.9545304777594728</v>
      </c>
      <c r="M37" s="81">
        <f>M5+M25</f>
        <v>133.4</v>
      </c>
      <c r="N37" s="81">
        <f>N5+N25</f>
        <v>144.9</v>
      </c>
      <c r="O37" s="93">
        <f t="shared" si="15"/>
        <v>0.9206349206349206</v>
      </c>
      <c r="P37" s="81">
        <f>P5+P25</f>
        <v>220.70000000000002</v>
      </c>
      <c r="Q37" s="81">
        <f>Q5+Q25</f>
        <v>67</v>
      </c>
      <c r="R37" s="81">
        <f>R5+R25</f>
        <v>80.69999999999999</v>
      </c>
      <c r="S37" s="139"/>
    </row>
    <row r="38" spans="1:18" ht="18">
      <c r="A38" s="9" t="s">
        <v>94</v>
      </c>
      <c r="B38" s="9"/>
      <c r="C38" s="81">
        <f aca="true" t="shared" si="17" ref="C38:H38">C37-C11</f>
        <v>775.4999999999999</v>
      </c>
      <c r="D38" s="80">
        <f t="shared" si="17"/>
        <v>507.228</v>
      </c>
      <c r="E38" s="80">
        <f t="shared" si="17"/>
        <v>1282.728</v>
      </c>
      <c r="F38" s="81">
        <f t="shared" si="17"/>
        <v>0</v>
      </c>
      <c r="G38" s="81">
        <f>G37-G11</f>
        <v>96.2</v>
      </c>
      <c r="H38" s="81">
        <f t="shared" si="17"/>
        <v>161.1</v>
      </c>
      <c r="I38" s="93">
        <f>IF(E38&gt;0,H38/E38,0)</f>
        <v>0.12559170767302186</v>
      </c>
      <c r="J38" s="93">
        <f>IF(F38&gt;0,H38/F38,0)</f>
        <v>0</v>
      </c>
      <c r="K38" s="81">
        <f>K37-K11</f>
        <v>177.9</v>
      </c>
      <c r="L38" s="93">
        <f t="shared" si="4"/>
        <v>0.9055649241146712</v>
      </c>
      <c r="M38" s="81">
        <f>M37-M11</f>
        <v>64.9</v>
      </c>
      <c r="N38" s="81">
        <f>N37-N11</f>
        <v>65.6</v>
      </c>
      <c r="O38" s="93">
        <f t="shared" si="15"/>
        <v>0.9893292682926831</v>
      </c>
      <c r="P38" s="81"/>
      <c r="Q38" s="81"/>
      <c r="R38" s="81"/>
    </row>
    <row r="39" spans="1:18" ht="18">
      <c r="A39" s="13" t="s">
        <v>25</v>
      </c>
      <c r="B39" s="13">
        <v>2000000000</v>
      </c>
      <c r="C39" s="73">
        <v>1618.47</v>
      </c>
      <c r="D39" s="84"/>
      <c r="E39" s="73">
        <f>C39+D39</f>
        <v>1618.47</v>
      </c>
      <c r="F39" s="73"/>
      <c r="G39" s="73">
        <v>267</v>
      </c>
      <c r="H39" s="70">
        <f>G39+M39</f>
        <v>403.6</v>
      </c>
      <c r="I39" s="79">
        <f t="shared" si="1"/>
        <v>0.24937131982674995</v>
      </c>
      <c r="J39" s="79">
        <f t="shared" si="5"/>
        <v>0</v>
      </c>
      <c r="K39" s="73">
        <v>249.4</v>
      </c>
      <c r="L39" s="79">
        <f t="shared" si="4"/>
        <v>1.6182838813151563</v>
      </c>
      <c r="M39" s="73">
        <v>136.6</v>
      </c>
      <c r="N39" s="73">
        <v>64.1</v>
      </c>
      <c r="O39" s="79">
        <f t="shared" si="15"/>
        <v>2.1310452418096726</v>
      </c>
      <c r="P39" s="73"/>
      <c r="Q39" s="73"/>
      <c r="R39" s="73"/>
    </row>
    <row r="40" spans="1:18" ht="18">
      <c r="A40" s="13" t="s">
        <v>49</v>
      </c>
      <c r="B40" s="34" t="s">
        <v>38</v>
      </c>
      <c r="C40" s="73"/>
      <c r="D40" s="84"/>
      <c r="E40" s="73">
        <f>C40+D40</f>
        <v>0</v>
      </c>
      <c r="F40" s="73"/>
      <c r="G40" s="73"/>
      <c r="H40" s="70">
        <f>G40+M40</f>
        <v>30</v>
      </c>
      <c r="I40" s="79">
        <f t="shared" si="1"/>
        <v>0</v>
      </c>
      <c r="J40" s="79"/>
      <c r="K40" s="73"/>
      <c r="L40" s="79">
        <f t="shared" si="4"/>
        <v>0</v>
      </c>
      <c r="M40" s="73">
        <v>30</v>
      </c>
      <c r="N40" s="73"/>
      <c r="O40" s="79">
        <f t="shared" si="15"/>
        <v>0</v>
      </c>
      <c r="P40" s="73"/>
      <c r="Q40" s="73"/>
      <c r="R40" s="73"/>
    </row>
    <row r="41" spans="1:18" ht="18">
      <c r="A41" s="9" t="s">
        <v>2</v>
      </c>
      <c r="B41" s="9">
        <v>0</v>
      </c>
      <c r="C41" s="90">
        <f>C37+C39+C40</f>
        <v>2931.5699999999997</v>
      </c>
      <c r="D41" s="80">
        <f>D37+D39+D40</f>
        <v>507.228</v>
      </c>
      <c r="E41" s="80">
        <f>E37+E39+E40</f>
        <v>3438.798</v>
      </c>
      <c r="F41" s="90">
        <f>F37+F39</f>
        <v>0</v>
      </c>
      <c r="G41" s="81">
        <f>G37+G39+G40</f>
        <v>423.3</v>
      </c>
      <c r="H41" s="81">
        <f>H37+H39+H40</f>
        <v>723.3</v>
      </c>
      <c r="I41" s="93">
        <f t="shared" si="1"/>
        <v>0.21033512291213383</v>
      </c>
      <c r="J41" s="93">
        <f t="shared" si="5"/>
        <v>0</v>
      </c>
      <c r="K41" s="81">
        <f>K37+K39+K40</f>
        <v>552.9</v>
      </c>
      <c r="L41" s="93">
        <f t="shared" si="4"/>
        <v>1.3081931633206727</v>
      </c>
      <c r="M41" s="81">
        <f>M37+M39+M40</f>
        <v>300</v>
      </c>
      <c r="N41" s="81">
        <f>N37+N39+N40</f>
        <v>209</v>
      </c>
      <c r="O41" s="93">
        <f t="shared" si="15"/>
        <v>1.4354066985645932</v>
      </c>
      <c r="P41" s="94">
        <f>P37+P39</f>
        <v>220.70000000000002</v>
      </c>
      <c r="Q41" s="81">
        <f>Q37+Q39</f>
        <v>67</v>
      </c>
      <c r="R41" s="81">
        <f>R37+R39</f>
        <v>80.69999999999999</v>
      </c>
    </row>
    <row r="42" ht="18">
      <c r="I42" s="162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1.25390625" style="0" customWidth="1"/>
    <col min="4" max="4" width="13.00390625" style="0" customWidth="1"/>
    <col min="5" max="5" width="13.875" style="0" customWidth="1"/>
    <col min="6" max="6" width="0.12890625" style="0" hidden="1" customWidth="1"/>
    <col min="7" max="7" width="9.875" style="0" customWidth="1"/>
    <col min="8" max="8" width="12.00390625" style="0" customWidth="1"/>
    <col min="9" max="9" width="11.62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9.75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</cols>
  <sheetData>
    <row r="1" spans="1:18" ht="15.75">
      <c r="A1" s="26"/>
      <c r="B1" s="48"/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26"/>
      <c r="Q1" s="26"/>
      <c r="R1" s="26"/>
    </row>
    <row r="2" spans="1:18" ht="15.75">
      <c r="A2" s="26"/>
      <c r="B2" s="175" t="s">
        <v>128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4" t="s">
        <v>3</v>
      </c>
      <c r="B3" s="164" t="s">
        <v>4</v>
      </c>
      <c r="C3" s="164" t="s">
        <v>114</v>
      </c>
      <c r="D3" s="164" t="s">
        <v>24</v>
      </c>
      <c r="E3" s="164" t="s">
        <v>115</v>
      </c>
      <c r="F3" s="164" t="s">
        <v>101</v>
      </c>
      <c r="G3" s="164" t="s">
        <v>118</v>
      </c>
      <c r="H3" s="164" t="s">
        <v>116</v>
      </c>
      <c r="I3" s="164"/>
      <c r="J3" s="164"/>
      <c r="K3" s="164" t="s">
        <v>108</v>
      </c>
      <c r="L3" s="164"/>
      <c r="M3" s="164" t="s">
        <v>121</v>
      </c>
      <c r="N3" s="164" t="s">
        <v>122</v>
      </c>
      <c r="O3" s="164" t="s">
        <v>30</v>
      </c>
      <c r="P3" s="164" t="s">
        <v>9</v>
      </c>
      <c r="Q3" s="164"/>
      <c r="R3" s="164"/>
    </row>
    <row r="4" spans="1:18" ht="93.75" customHeight="1">
      <c r="A4" s="174"/>
      <c r="B4" s="174"/>
      <c r="C4" s="164"/>
      <c r="D4" s="164"/>
      <c r="E4" s="164"/>
      <c r="F4" s="164"/>
      <c r="G4" s="164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4"/>
      <c r="N4" s="164"/>
      <c r="O4" s="164"/>
      <c r="P4" s="124" t="s">
        <v>117</v>
      </c>
      <c r="Q4" s="124" t="s">
        <v>119</v>
      </c>
      <c r="R4" s="124" t="s">
        <v>123</v>
      </c>
    </row>
    <row r="5" spans="1:18" ht="17.25" customHeight="1">
      <c r="A5" s="29" t="s">
        <v>21</v>
      </c>
      <c r="B5" s="29"/>
      <c r="C5" s="91">
        <f aca="true" t="shared" si="0" ref="C5:H5">C6+C16+C18+C23+C24+C11</f>
        <v>1601.8</v>
      </c>
      <c r="D5" s="91">
        <f t="shared" si="0"/>
        <v>549.79</v>
      </c>
      <c r="E5" s="91">
        <f t="shared" si="0"/>
        <v>2151.59</v>
      </c>
      <c r="F5" s="91">
        <f t="shared" si="0"/>
        <v>0</v>
      </c>
      <c r="G5" s="91">
        <f t="shared" si="0"/>
        <v>198.20000000000002</v>
      </c>
      <c r="H5" s="91">
        <f t="shared" si="0"/>
        <v>339.9</v>
      </c>
      <c r="I5" s="92">
        <f aca="true" t="shared" si="1" ref="I5:I40">IF(E5&gt;0,H5/E5,0)</f>
        <v>0.15797619434929516</v>
      </c>
      <c r="J5" s="92">
        <f>IF(F5&gt;0,H5/F5,0)</f>
        <v>0</v>
      </c>
      <c r="K5" s="91">
        <f>K6+K16+K18+K23+K24+K11</f>
        <v>418.6</v>
      </c>
      <c r="L5" s="92">
        <f>IF(K5&gt;0,H5/K5,0)</f>
        <v>0.8119923554706162</v>
      </c>
      <c r="M5" s="91">
        <f>M6+M16+M18+M23+M24+M11</f>
        <v>141.7</v>
      </c>
      <c r="N5" s="91">
        <f>N6+N16+N18+N23+N24+N11</f>
        <v>165.5</v>
      </c>
      <c r="O5" s="92">
        <f aca="true" t="shared" si="2" ref="O5:O40">IF(N5&gt;0,M5/N5,0)</f>
        <v>0.8561933534743201</v>
      </c>
      <c r="P5" s="91">
        <f>P6+P16+P18+P23+P24+P11</f>
        <v>138.2</v>
      </c>
      <c r="Q5" s="91">
        <f>Q6+Q16+Q18+Q23+Q24+Q11</f>
        <v>126.19999999999999</v>
      </c>
      <c r="R5" s="91">
        <f>R6+R16+R18+R23+R24+R11</f>
        <v>117.89999999999999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679.7</v>
      </c>
      <c r="D6" s="74">
        <f t="shared" si="3"/>
        <v>439.79</v>
      </c>
      <c r="E6" s="74">
        <f t="shared" si="3"/>
        <v>1119.49</v>
      </c>
      <c r="F6" s="74">
        <f t="shared" si="3"/>
        <v>0</v>
      </c>
      <c r="G6" s="74">
        <f t="shared" si="3"/>
        <v>118</v>
      </c>
      <c r="H6" s="74">
        <f t="shared" si="3"/>
        <v>178.10000000000002</v>
      </c>
      <c r="I6" s="89">
        <f t="shared" si="1"/>
        <v>0.159090300047343</v>
      </c>
      <c r="J6" s="89">
        <f>IF(F6&gt;0,H6/F6,0)</f>
        <v>0</v>
      </c>
      <c r="K6" s="95">
        <f>SUM(K7:K10)</f>
        <v>181.7</v>
      </c>
      <c r="L6" s="89">
        <f aca="true" t="shared" si="4" ref="L6:L40">IF(K6&gt;0,H6/K6,0)</f>
        <v>0.9801871216290591</v>
      </c>
      <c r="M6" s="74">
        <f>M7+M8+M9+M10</f>
        <v>60.1</v>
      </c>
      <c r="N6" s="74">
        <f>N7+N8+N9+N10</f>
        <v>75.6</v>
      </c>
      <c r="O6" s="89">
        <f t="shared" si="2"/>
        <v>0.794973544973545</v>
      </c>
      <c r="P6" s="74">
        <f>P7+P8+P9+P10</f>
        <v>14.8</v>
      </c>
      <c r="Q6" s="74">
        <f>Q7+Q8+Q9+Q10</f>
        <v>15.1</v>
      </c>
      <c r="R6" s="74">
        <f>R7+R8+R9+R10</f>
        <v>14.8</v>
      </c>
    </row>
    <row r="7" spans="1:20" ht="21" customHeight="1">
      <c r="A7" s="10" t="s">
        <v>46</v>
      </c>
      <c r="B7" s="13">
        <v>1010201001</v>
      </c>
      <c r="C7" s="73">
        <v>679.1</v>
      </c>
      <c r="D7" s="85">
        <f>439.79</f>
        <v>439.79</v>
      </c>
      <c r="E7" s="73">
        <f>C7+D7</f>
        <v>1118.89</v>
      </c>
      <c r="F7" s="73"/>
      <c r="G7" s="70">
        <v>117.2</v>
      </c>
      <c r="H7" s="70">
        <f>G7+M7</f>
        <v>177.3</v>
      </c>
      <c r="I7" s="79">
        <f t="shared" si="1"/>
        <v>0.15846061721885082</v>
      </c>
      <c r="J7" s="79">
        <f aca="true" t="shared" si="5" ref="J7:J38">IF(F7&gt;0,H7/F7,0)</f>
        <v>0</v>
      </c>
      <c r="K7" s="70">
        <v>181.7</v>
      </c>
      <c r="L7" s="79">
        <f t="shared" si="4"/>
        <v>0.9757842597688499</v>
      </c>
      <c r="M7" s="70">
        <v>60.1</v>
      </c>
      <c r="N7" s="70">
        <v>75.6</v>
      </c>
      <c r="O7" s="79">
        <f t="shared" si="2"/>
        <v>0.794973544973545</v>
      </c>
      <c r="P7" s="73">
        <v>14.8</v>
      </c>
      <c r="Q7" s="73">
        <v>15.1</v>
      </c>
      <c r="R7" s="73">
        <v>14.8</v>
      </c>
      <c r="T7" s="132"/>
    </row>
    <row r="8" spans="1:18" ht="18" customHeight="1">
      <c r="A8" s="10" t="s">
        <v>45</v>
      </c>
      <c r="B8" s="13">
        <v>1010202001</v>
      </c>
      <c r="C8" s="73">
        <v>0.1</v>
      </c>
      <c r="D8" s="70"/>
      <c r="E8" s="73">
        <f>C8+D8</f>
        <v>0.1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 t="shared" si="2"/>
        <v>0</v>
      </c>
      <c r="P8" s="73"/>
      <c r="Q8" s="73"/>
      <c r="R8" s="73"/>
    </row>
    <row r="9" spans="1:18" ht="20.25" customHeight="1">
      <c r="A9" s="10" t="s">
        <v>43</v>
      </c>
      <c r="B9" s="13">
        <v>1010203001</v>
      </c>
      <c r="C9" s="73">
        <v>0.5</v>
      </c>
      <c r="D9" s="73"/>
      <c r="E9" s="73">
        <f>C9+D9</f>
        <v>0.5</v>
      </c>
      <c r="F9" s="73"/>
      <c r="G9" s="73">
        <v>0.8</v>
      </c>
      <c r="H9" s="70">
        <f>G9+M9</f>
        <v>0.8</v>
      </c>
      <c r="I9" s="79">
        <f t="shared" si="1"/>
        <v>1.6</v>
      </c>
      <c r="J9" s="79">
        <f t="shared" si="5"/>
        <v>0</v>
      </c>
      <c r="K9" s="73"/>
      <c r="L9" s="79">
        <f t="shared" si="4"/>
        <v>0</v>
      </c>
      <c r="M9" s="73"/>
      <c r="N9" s="73"/>
      <c r="O9" s="79">
        <f t="shared" si="2"/>
        <v>0</v>
      </c>
      <c r="P9" s="73"/>
      <c r="Q9" s="73"/>
      <c r="R9" s="73"/>
    </row>
    <row r="10" spans="1:18" ht="1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16.5" customHeight="1">
      <c r="A11" s="11" t="s">
        <v>50</v>
      </c>
      <c r="B11" s="19">
        <v>1030200001</v>
      </c>
      <c r="C11" s="74">
        <f aca="true" t="shared" si="6" ref="C11:H11">SUM(C12:C15)</f>
        <v>475.59999999999997</v>
      </c>
      <c r="D11" s="74">
        <f t="shared" si="6"/>
        <v>0</v>
      </c>
      <c r="E11" s="74">
        <f t="shared" si="6"/>
        <v>475.59999999999997</v>
      </c>
      <c r="F11" s="74"/>
      <c r="G11" s="74">
        <f>SUM(G12:G15)</f>
        <v>53.300000000000004</v>
      </c>
      <c r="H11" s="74">
        <f t="shared" si="6"/>
        <v>114.1</v>
      </c>
      <c r="I11" s="68">
        <f t="shared" si="1"/>
        <v>0.23990748528174938</v>
      </c>
      <c r="J11" s="68">
        <f>IF(F11&gt;0,H11/F11,0)</f>
        <v>0</v>
      </c>
      <c r="K11" s="74">
        <f>SUM(K12:K15)</f>
        <v>111.4</v>
      </c>
      <c r="L11" s="68">
        <f t="shared" si="4"/>
        <v>1.0242369838420107</v>
      </c>
      <c r="M11" s="74">
        <f>SUM(M12:M15)</f>
        <v>60.8</v>
      </c>
      <c r="N11" s="74">
        <f>SUM(N12:N15)</f>
        <v>70.4</v>
      </c>
      <c r="O11" s="68">
        <f t="shared" si="2"/>
        <v>0.8636363636363635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20.25" customHeight="1">
      <c r="A12" s="12" t="s">
        <v>51</v>
      </c>
      <c r="B12" s="12">
        <v>1030223001</v>
      </c>
      <c r="C12" s="73">
        <v>167.3</v>
      </c>
      <c r="D12" s="73"/>
      <c r="E12" s="69">
        <f>C12+D12</f>
        <v>167.3</v>
      </c>
      <c r="F12" s="69"/>
      <c r="G12" s="73">
        <v>22.3</v>
      </c>
      <c r="H12" s="71">
        <f>G12+M12</f>
        <v>47</v>
      </c>
      <c r="I12" s="72">
        <f t="shared" si="1"/>
        <v>0.2809324566646742</v>
      </c>
      <c r="J12" s="72">
        <f>IF(F12&gt;0,H12/F12,0)</f>
        <v>0</v>
      </c>
      <c r="K12" s="73">
        <v>41.4</v>
      </c>
      <c r="L12" s="72">
        <f t="shared" si="4"/>
        <v>1.1352657004830917</v>
      </c>
      <c r="M12" s="73">
        <v>24.7</v>
      </c>
      <c r="N12" s="73">
        <v>26.9</v>
      </c>
      <c r="O12" s="72">
        <f t="shared" si="2"/>
        <v>0.9182156133828997</v>
      </c>
      <c r="P12" s="73"/>
      <c r="Q12" s="73"/>
      <c r="R12" s="73"/>
    </row>
    <row r="13" spans="1:18" ht="18" customHeight="1">
      <c r="A13" s="12" t="s">
        <v>52</v>
      </c>
      <c r="B13" s="12">
        <v>1030224001</v>
      </c>
      <c r="C13" s="73">
        <v>1.4</v>
      </c>
      <c r="D13" s="73"/>
      <c r="E13" s="69">
        <f>C13+D13</f>
        <v>1.4</v>
      </c>
      <c r="F13" s="69"/>
      <c r="G13" s="73">
        <v>0.1</v>
      </c>
      <c r="H13" s="71">
        <f>G13+M13</f>
        <v>0.30000000000000004</v>
      </c>
      <c r="I13" s="72">
        <f t="shared" si="1"/>
        <v>0.21428571428571433</v>
      </c>
      <c r="J13" s="72">
        <f>IF(F13&gt;0,H13/F13,0)</f>
        <v>0</v>
      </c>
      <c r="K13" s="73">
        <v>0.4</v>
      </c>
      <c r="L13" s="72">
        <f t="shared" si="4"/>
        <v>0.7500000000000001</v>
      </c>
      <c r="M13" s="73">
        <v>0.2</v>
      </c>
      <c r="N13" s="73">
        <v>0.2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338.2</v>
      </c>
      <c r="D14" s="73"/>
      <c r="E14" s="69">
        <f>C14+D14</f>
        <v>338.2</v>
      </c>
      <c r="F14" s="69"/>
      <c r="G14" s="73">
        <v>36.5</v>
      </c>
      <c r="H14" s="71">
        <f>G14+M14</f>
        <v>76.6</v>
      </c>
      <c r="I14" s="72">
        <f t="shared" si="1"/>
        <v>0.2264931992903607</v>
      </c>
      <c r="J14" s="72">
        <f>IF(F14&gt;0,H14/F14,0)</f>
        <v>0</v>
      </c>
      <c r="K14" s="73">
        <v>77.2</v>
      </c>
      <c r="L14" s="72">
        <f t="shared" si="4"/>
        <v>0.9922279792746113</v>
      </c>
      <c r="M14" s="73">
        <v>40.1</v>
      </c>
      <c r="N14" s="73">
        <v>48.6</v>
      </c>
      <c r="O14" s="72">
        <f t="shared" si="2"/>
        <v>0.8251028806584362</v>
      </c>
      <c r="P14" s="73"/>
      <c r="Q14" s="73"/>
      <c r="R14" s="73"/>
    </row>
    <row r="15" spans="1:18" ht="19.5" customHeight="1">
      <c r="A15" s="12" t="s">
        <v>54</v>
      </c>
      <c r="B15" s="12">
        <v>1030226001</v>
      </c>
      <c r="C15" s="73">
        <v>-31.3</v>
      </c>
      <c r="D15" s="73"/>
      <c r="E15" s="69">
        <f>C15+D15</f>
        <v>-31.3</v>
      </c>
      <c r="F15" s="69"/>
      <c r="G15" s="73">
        <v>-5.6</v>
      </c>
      <c r="H15" s="71">
        <f>G15+M15</f>
        <v>-9.8</v>
      </c>
      <c r="I15" s="72">
        <f t="shared" si="1"/>
        <v>0</v>
      </c>
      <c r="J15" s="72">
        <f>IF(F15&gt;0,H15/F15,0)</f>
        <v>0</v>
      </c>
      <c r="K15" s="73">
        <v>-7.6</v>
      </c>
      <c r="L15" s="72">
        <f t="shared" si="4"/>
        <v>0</v>
      </c>
      <c r="M15" s="73">
        <v>-4.2</v>
      </c>
      <c r="N15" s="73">
        <v>-5.3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233.5</v>
      </c>
      <c r="D16" s="75">
        <f t="shared" si="7"/>
        <v>50</v>
      </c>
      <c r="E16" s="75">
        <f t="shared" si="7"/>
        <v>283.5</v>
      </c>
      <c r="F16" s="75">
        <f t="shared" si="7"/>
        <v>0</v>
      </c>
      <c r="G16" s="74">
        <f>G17</f>
        <v>13</v>
      </c>
      <c r="H16" s="75">
        <f t="shared" si="7"/>
        <v>26.5</v>
      </c>
      <c r="I16" s="89">
        <f t="shared" si="1"/>
        <v>0.09347442680776014</v>
      </c>
      <c r="J16" s="89">
        <f t="shared" si="5"/>
        <v>0</v>
      </c>
      <c r="K16" s="74">
        <f>K17</f>
        <v>79.5</v>
      </c>
      <c r="L16" s="89">
        <f t="shared" si="4"/>
        <v>0.3333333333333333</v>
      </c>
      <c r="M16" s="74">
        <f>M17</f>
        <v>13.5</v>
      </c>
      <c r="N16" s="74">
        <f>N17</f>
        <v>15.5</v>
      </c>
      <c r="O16" s="89">
        <f t="shared" si="2"/>
        <v>0.8709677419354839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233.5</v>
      </c>
      <c r="D17" s="70">
        <f>50</f>
        <v>50</v>
      </c>
      <c r="E17" s="73">
        <f>C17+D17</f>
        <v>283.5</v>
      </c>
      <c r="F17" s="73"/>
      <c r="G17" s="73">
        <v>13</v>
      </c>
      <c r="H17" s="70">
        <f>G17+M17</f>
        <v>26.5</v>
      </c>
      <c r="I17" s="79">
        <f t="shared" si="1"/>
        <v>0.09347442680776014</v>
      </c>
      <c r="J17" s="79">
        <f t="shared" si="5"/>
        <v>0</v>
      </c>
      <c r="K17" s="73">
        <v>79.5</v>
      </c>
      <c r="L17" s="79">
        <f t="shared" si="4"/>
        <v>0.3333333333333333</v>
      </c>
      <c r="M17" s="73">
        <v>13.5</v>
      </c>
      <c r="N17" s="73">
        <v>15.5</v>
      </c>
      <c r="O17" s="79">
        <f t="shared" si="2"/>
        <v>0.8709677419354839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210</v>
      </c>
      <c r="D18" s="75">
        <f t="shared" si="8"/>
        <v>60</v>
      </c>
      <c r="E18" s="75">
        <f t="shared" si="8"/>
        <v>270</v>
      </c>
      <c r="F18" s="75">
        <f t="shared" si="8"/>
        <v>0</v>
      </c>
      <c r="G18" s="74">
        <f>G19+G22</f>
        <v>12.100000000000001</v>
      </c>
      <c r="H18" s="75">
        <f t="shared" si="8"/>
        <v>19</v>
      </c>
      <c r="I18" s="89">
        <f t="shared" si="1"/>
        <v>0.07037037037037037</v>
      </c>
      <c r="J18" s="89">
        <f t="shared" si="5"/>
        <v>0</v>
      </c>
      <c r="K18" s="74">
        <f>K19+K22</f>
        <v>44.4</v>
      </c>
      <c r="L18" s="89">
        <f t="shared" si="4"/>
        <v>0.42792792792792794</v>
      </c>
      <c r="M18" s="74">
        <f>M19+M22</f>
        <v>6.9</v>
      </c>
      <c r="N18" s="74">
        <f>N19+N22</f>
        <v>3.2</v>
      </c>
      <c r="O18" s="89">
        <f t="shared" si="2"/>
        <v>2.15625</v>
      </c>
      <c r="P18" s="74">
        <f>P19+P22</f>
        <v>123.39999999999999</v>
      </c>
      <c r="Q18" s="74">
        <f>Q19+Q22</f>
        <v>111.1</v>
      </c>
      <c r="R18" s="74">
        <f>R19+R22</f>
        <v>103.1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160</v>
      </c>
      <c r="D19" s="70">
        <f t="shared" si="9"/>
        <v>30</v>
      </c>
      <c r="E19" s="70">
        <f t="shared" si="9"/>
        <v>190</v>
      </c>
      <c r="F19" s="70">
        <f t="shared" si="9"/>
        <v>0</v>
      </c>
      <c r="G19" s="70">
        <f>G20+G21</f>
        <v>11.8</v>
      </c>
      <c r="H19" s="70">
        <f t="shared" si="9"/>
        <v>13.7</v>
      </c>
      <c r="I19" s="79">
        <f t="shared" si="1"/>
        <v>0.07210526315789473</v>
      </c>
      <c r="J19" s="79">
        <f t="shared" si="5"/>
        <v>0</v>
      </c>
      <c r="K19" s="70">
        <f>K20+K21</f>
        <v>41.9</v>
      </c>
      <c r="L19" s="79">
        <f t="shared" si="4"/>
        <v>0.3269689737470167</v>
      </c>
      <c r="M19" s="70">
        <f>M20+M21</f>
        <v>1.9</v>
      </c>
      <c r="N19" s="70">
        <f>N20+N21</f>
        <v>2.1</v>
      </c>
      <c r="O19" s="79">
        <f t="shared" si="2"/>
        <v>0.9047619047619047</v>
      </c>
      <c r="P19" s="73">
        <f>P20+P21</f>
        <v>99.6</v>
      </c>
      <c r="Q19" s="73">
        <f>Q20+Q21</f>
        <v>66</v>
      </c>
      <c r="R19" s="73">
        <f>R20+R21</f>
        <v>62.8</v>
      </c>
    </row>
    <row r="20" spans="1:18" ht="18">
      <c r="A20" s="13" t="s">
        <v>102</v>
      </c>
      <c r="B20" s="13">
        <v>1060603310</v>
      </c>
      <c r="C20" s="73">
        <v>50</v>
      </c>
      <c r="D20" s="70"/>
      <c r="E20" s="73">
        <f>C20+D20</f>
        <v>50</v>
      </c>
      <c r="F20" s="73"/>
      <c r="G20" s="73">
        <v>7.9</v>
      </c>
      <c r="H20" s="70">
        <f>G20+M20</f>
        <v>7.9</v>
      </c>
      <c r="I20" s="79">
        <f t="shared" si="1"/>
        <v>0.158</v>
      </c>
      <c r="J20" s="79">
        <f t="shared" si="5"/>
        <v>0</v>
      </c>
      <c r="K20" s="73">
        <v>37.4</v>
      </c>
      <c r="L20" s="79">
        <f t="shared" si="4"/>
        <v>0.21122994652406418</v>
      </c>
      <c r="M20" s="73"/>
      <c r="N20" s="73">
        <v>-0.1</v>
      </c>
      <c r="O20" s="79">
        <f t="shared" si="2"/>
        <v>0</v>
      </c>
      <c r="P20" s="73">
        <v>17.8</v>
      </c>
      <c r="Q20" s="73">
        <v>17.8</v>
      </c>
      <c r="R20" s="73">
        <v>17.8</v>
      </c>
    </row>
    <row r="21" spans="1:18" ht="18">
      <c r="A21" s="13" t="s">
        <v>103</v>
      </c>
      <c r="B21" s="13">
        <v>1060604310</v>
      </c>
      <c r="C21" s="73">
        <v>110</v>
      </c>
      <c r="D21" s="70">
        <f>30</f>
        <v>30</v>
      </c>
      <c r="E21" s="73">
        <f>C21+D21</f>
        <v>140</v>
      </c>
      <c r="F21" s="73"/>
      <c r="G21" s="73">
        <v>3.9</v>
      </c>
      <c r="H21" s="70">
        <f>G21+M21</f>
        <v>5.8</v>
      </c>
      <c r="I21" s="79">
        <f t="shared" si="1"/>
        <v>0.041428571428571426</v>
      </c>
      <c r="J21" s="79">
        <f t="shared" si="5"/>
        <v>0</v>
      </c>
      <c r="K21" s="73">
        <v>4.5</v>
      </c>
      <c r="L21" s="79">
        <f t="shared" si="4"/>
        <v>1.2888888888888888</v>
      </c>
      <c r="M21" s="73">
        <v>1.9</v>
      </c>
      <c r="N21" s="73">
        <v>2.2</v>
      </c>
      <c r="O21" s="79">
        <f t="shared" si="2"/>
        <v>0.8636363636363635</v>
      </c>
      <c r="P21" s="73">
        <v>81.8</v>
      </c>
      <c r="Q21" s="73">
        <v>48.2</v>
      </c>
      <c r="R21" s="73">
        <v>45</v>
      </c>
    </row>
    <row r="22" spans="1:20" ht="18">
      <c r="A22" s="13" t="s">
        <v>12</v>
      </c>
      <c r="B22" s="13">
        <v>1060103010</v>
      </c>
      <c r="C22" s="73">
        <v>50</v>
      </c>
      <c r="D22" s="70">
        <f>30</f>
        <v>30</v>
      </c>
      <c r="E22" s="73">
        <f>C22+D22</f>
        <v>80</v>
      </c>
      <c r="F22" s="73"/>
      <c r="G22" s="73">
        <v>0.3</v>
      </c>
      <c r="H22" s="70">
        <f>G22+M22</f>
        <v>5.3</v>
      </c>
      <c r="I22" s="79">
        <f t="shared" si="1"/>
        <v>0.06625</v>
      </c>
      <c r="J22" s="79">
        <f t="shared" si="5"/>
        <v>0</v>
      </c>
      <c r="K22" s="73">
        <v>2.5</v>
      </c>
      <c r="L22" s="79">
        <f t="shared" si="4"/>
        <v>2.12</v>
      </c>
      <c r="M22" s="73">
        <v>5</v>
      </c>
      <c r="N22" s="73">
        <v>1.1</v>
      </c>
      <c r="O22" s="79">
        <f t="shared" si="2"/>
        <v>4.545454545454545</v>
      </c>
      <c r="P22" s="73">
        <v>23.8</v>
      </c>
      <c r="Q22" s="73">
        <v>45.1</v>
      </c>
      <c r="R22" s="73">
        <v>40.3</v>
      </c>
      <c r="T22" s="132"/>
    </row>
    <row r="23" spans="1:18" ht="17.25" customHeight="1">
      <c r="A23" s="9" t="s">
        <v>74</v>
      </c>
      <c r="B23" s="30">
        <v>1080402001</v>
      </c>
      <c r="C23" s="74">
        <v>3</v>
      </c>
      <c r="D23" s="75"/>
      <c r="E23" s="74">
        <f>C23+D23</f>
        <v>3</v>
      </c>
      <c r="F23" s="74"/>
      <c r="G23" s="74">
        <v>1.8</v>
      </c>
      <c r="H23" s="75">
        <f>G23+M23</f>
        <v>2.2</v>
      </c>
      <c r="I23" s="89">
        <f t="shared" si="1"/>
        <v>0.7333333333333334</v>
      </c>
      <c r="J23" s="89">
        <f t="shared" si="5"/>
        <v>0</v>
      </c>
      <c r="K23" s="74">
        <v>1.6</v>
      </c>
      <c r="L23" s="89">
        <f t="shared" si="4"/>
        <v>1.375</v>
      </c>
      <c r="M23" s="74">
        <v>0.4</v>
      </c>
      <c r="N23" s="74">
        <v>0.8</v>
      </c>
      <c r="O23" s="89">
        <f t="shared" si="2"/>
        <v>0.5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88">
        <f aca="true" t="shared" si="10" ref="C25:H25">C26+C29+C33+C30+C32+C31</f>
        <v>1010</v>
      </c>
      <c r="D25" s="88">
        <f t="shared" si="10"/>
        <v>0</v>
      </c>
      <c r="E25" s="88">
        <f t="shared" si="10"/>
        <v>1010</v>
      </c>
      <c r="F25" s="88">
        <f t="shared" si="10"/>
        <v>0</v>
      </c>
      <c r="G25" s="88">
        <f>G26+G29+G33+G30+G32+G31</f>
        <v>59.4</v>
      </c>
      <c r="H25" s="88">
        <f t="shared" si="10"/>
        <v>111.6</v>
      </c>
      <c r="I25" s="92">
        <f t="shared" si="1"/>
        <v>0.1104950495049505</v>
      </c>
      <c r="J25" s="92">
        <f t="shared" si="5"/>
        <v>0</v>
      </c>
      <c r="K25" s="88">
        <f>K26+K29+K33+K30+K32+K31</f>
        <v>96.7</v>
      </c>
      <c r="L25" s="92">
        <f t="shared" si="4"/>
        <v>1.1540847983453981</v>
      </c>
      <c r="M25" s="88">
        <f>M26+M29+M33+M30+M32+M31</f>
        <v>52.199999999999996</v>
      </c>
      <c r="N25" s="88">
        <f>N26+N29+N33+N30+N32+N31</f>
        <v>45.1</v>
      </c>
      <c r="O25" s="92">
        <f t="shared" si="2"/>
        <v>1.1574279379157426</v>
      </c>
      <c r="P25" s="78">
        <f>P26+P29+P33+P30</f>
        <v>2.7</v>
      </c>
      <c r="Q25" s="78">
        <f>Q26+Q29+Q33+Q30</f>
        <v>0</v>
      </c>
      <c r="R25" s="78">
        <f>R26+R29+R33+R30</f>
        <v>0</v>
      </c>
    </row>
    <row r="26" spans="1:18" ht="18">
      <c r="A26" s="9" t="s">
        <v>76</v>
      </c>
      <c r="B26" s="30">
        <v>1110000000</v>
      </c>
      <c r="C26" s="74">
        <f aca="true" t="shared" si="11" ref="C26:H26">C27+C28</f>
        <v>100</v>
      </c>
      <c r="D26" s="74">
        <f t="shared" si="11"/>
        <v>0</v>
      </c>
      <c r="E26" s="74">
        <f t="shared" si="11"/>
        <v>100</v>
      </c>
      <c r="F26" s="74">
        <f t="shared" si="11"/>
        <v>0</v>
      </c>
      <c r="G26" s="74">
        <f>G27+G28</f>
        <v>16.9</v>
      </c>
      <c r="H26" s="74">
        <f t="shared" si="11"/>
        <v>25.7</v>
      </c>
      <c r="I26" s="89">
        <f t="shared" si="1"/>
        <v>0.257</v>
      </c>
      <c r="J26" s="89">
        <f t="shared" si="5"/>
        <v>0</v>
      </c>
      <c r="K26" s="74">
        <f>K27+K28</f>
        <v>23.9</v>
      </c>
      <c r="L26" s="89">
        <f t="shared" si="4"/>
        <v>1.0753138075313808</v>
      </c>
      <c r="M26" s="74">
        <f>M27+M28</f>
        <v>8.8</v>
      </c>
      <c r="N26" s="74">
        <f>N27+N28</f>
        <v>12</v>
      </c>
      <c r="O26" s="89">
        <f t="shared" si="2"/>
        <v>0.7333333333333334</v>
      </c>
      <c r="P26" s="74">
        <f>P27+P28</f>
        <v>2.7</v>
      </c>
      <c r="Q26" s="74">
        <f>Q27+Q28</f>
        <v>0</v>
      </c>
      <c r="R26" s="74">
        <f>R27+R28</f>
        <v>0</v>
      </c>
    </row>
    <row r="27" spans="1:18" ht="19.5" customHeight="1">
      <c r="A27" s="13" t="s">
        <v>109</v>
      </c>
      <c r="B27" s="13">
        <v>1110502510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100</v>
      </c>
      <c r="D28" s="70"/>
      <c r="E28" s="73">
        <f t="shared" si="12"/>
        <v>100</v>
      </c>
      <c r="F28" s="73"/>
      <c r="G28" s="73">
        <v>16.9</v>
      </c>
      <c r="H28" s="70">
        <f t="shared" si="13"/>
        <v>25.7</v>
      </c>
      <c r="I28" s="79">
        <f t="shared" si="1"/>
        <v>0.257</v>
      </c>
      <c r="J28" s="79">
        <f t="shared" si="5"/>
        <v>0</v>
      </c>
      <c r="K28" s="73">
        <v>23.9</v>
      </c>
      <c r="L28" s="79">
        <f t="shared" si="4"/>
        <v>1.0753138075313808</v>
      </c>
      <c r="M28" s="73">
        <v>8.8</v>
      </c>
      <c r="N28" s="73">
        <v>12</v>
      </c>
      <c r="O28" s="79">
        <f t="shared" si="2"/>
        <v>0.7333333333333334</v>
      </c>
      <c r="P28" s="73">
        <v>2.7</v>
      </c>
      <c r="Q28" s="73">
        <v>0</v>
      </c>
      <c r="R28" s="73"/>
    </row>
    <row r="29" spans="1:18" ht="18">
      <c r="A29" s="9" t="s">
        <v>39</v>
      </c>
      <c r="B29" s="30">
        <v>1130299510</v>
      </c>
      <c r="C29" s="74">
        <v>910</v>
      </c>
      <c r="D29" s="74"/>
      <c r="E29" s="74">
        <f t="shared" si="12"/>
        <v>910</v>
      </c>
      <c r="F29" s="74"/>
      <c r="G29" s="74">
        <v>42.5</v>
      </c>
      <c r="H29" s="75">
        <f t="shared" si="13"/>
        <v>85.8</v>
      </c>
      <c r="I29" s="89">
        <f t="shared" si="1"/>
        <v>0.09428571428571428</v>
      </c>
      <c r="J29" s="89">
        <f t="shared" si="5"/>
        <v>0</v>
      </c>
      <c r="K29" s="74">
        <v>72.6</v>
      </c>
      <c r="L29" s="89">
        <f t="shared" si="4"/>
        <v>1.1818181818181819</v>
      </c>
      <c r="M29" s="74">
        <v>43.3</v>
      </c>
      <c r="N29" s="74">
        <v>33.1</v>
      </c>
      <c r="O29" s="89">
        <f t="shared" si="2"/>
        <v>1.308157099697885</v>
      </c>
      <c r="P29" s="74"/>
      <c r="Q29" s="74"/>
      <c r="R29" s="74"/>
    </row>
    <row r="30" spans="1:18" ht="18">
      <c r="A30" s="9" t="s">
        <v>78</v>
      </c>
      <c r="B30" s="30">
        <v>1140601410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77</v>
      </c>
      <c r="B31" s="30">
        <v>1140205310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/>
      <c r="E32" s="74">
        <f t="shared" si="12"/>
        <v>0</v>
      </c>
      <c r="F32" s="74"/>
      <c r="G32" s="74"/>
      <c r="H32" s="75">
        <f t="shared" si="13"/>
        <v>0</v>
      </c>
      <c r="I32" s="89">
        <f>IF(E32&gt;0,H32/E32,0)</f>
        <v>0</v>
      </c>
      <c r="J32" s="89">
        <f>IF(F32&gt;0,H32/F32,0)</f>
        <v>0</v>
      </c>
      <c r="K32" s="74"/>
      <c r="L32" s="89">
        <f t="shared" si="4"/>
        <v>0</v>
      </c>
      <c r="M32" s="74"/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</v>
      </c>
      <c r="H33" s="74">
        <f t="shared" si="14"/>
        <v>0.1</v>
      </c>
      <c r="I33" s="89">
        <f>IF(E33&gt;0,H33/E33,0)</f>
        <v>0</v>
      </c>
      <c r="J33" s="89">
        <f>IF(F33&gt;0,H33/F33,0)</f>
        <v>0</v>
      </c>
      <c r="K33" s="74">
        <f>SUM(K34:K35)</f>
        <v>0.2</v>
      </c>
      <c r="L33" s="89">
        <f t="shared" si="4"/>
        <v>0.5</v>
      </c>
      <c r="M33" s="74">
        <f t="shared" si="14"/>
        <v>0.1</v>
      </c>
      <c r="N33" s="74">
        <f t="shared" si="14"/>
        <v>0</v>
      </c>
      <c r="O33" s="89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t="shared" si="2"/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70"/>
      <c r="E35" s="73">
        <f>C35+D35</f>
        <v>0</v>
      </c>
      <c r="F35" s="73"/>
      <c r="G35" s="73"/>
      <c r="H35" s="70">
        <f>G35+M35</f>
        <v>0.1</v>
      </c>
      <c r="I35" s="79">
        <f>IF(E35&gt;0,H35/E35,0)</f>
        <v>0</v>
      </c>
      <c r="J35" s="79">
        <f>IF(F35&gt;0,H35/F35,0)</f>
        <v>0</v>
      </c>
      <c r="K35" s="73">
        <v>0.2</v>
      </c>
      <c r="L35" s="79">
        <f>IF(K35&gt;0,H35/K35,0)</f>
        <v>0.5</v>
      </c>
      <c r="M35" s="73">
        <v>0.1</v>
      </c>
      <c r="N35" s="73"/>
      <c r="O35" s="79">
        <f>IF(N35&gt;0,M35/N35,0)</f>
        <v>0</v>
      </c>
      <c r="P35" s="73"/>
      <c r="Q35" s="73"/>
      <c r="R35" s="73"/>
    </row>
    <row r="36" spans="1:20" ht="18">
      <c r="A36" s="9" t="s">
        <v>6</v>
      </c>
      <c r="B36" s="9">
        <v>1000000000</v>
      </c>
      <c r="C36" s="81">
        <f aca="true" t="shared" si="15" ref="C36:H36">C5+C25</f>
        <v>2611.8</v>
      </c>
      <c r="D36" s="80">
        <f t="shared" si="15"/>
        <v>549.79</v>
      </c>
      <c r="E36" s="80">
        <f t="shared" si="15"/>
        <v>3161.59</v>
      </c>
      <c r="F36" s="81">
        <f t="shared" si="15"/>
        <v>0</v>
      </c>
      <c r="G36" s="81">
        <f>G5+G25</f>
        <v>257.6</v>
      </c>
      <c r="H36" s="81">
        <f t="shared" si="15"/>
        <v>451.5</v>
      </c>
      <c r="I36" s="93">
        <f t="shared" si="1"/>
        <v>0.14280789096625432</v>
      </c>
      <c r="J36" s="93">
        <f t="shared" si="5"/>
        <v>0</v>
      </c>
      <c r="K36" s="81">
        <f>K5+K25</f>
        <v>515.3000000000001</v>
      </c>
      <c r="L36" s="93">
        <f t="shared" si="4"/>
        <v>0.8761886279836987</v>
      </c>
      <c r="M36" s="81">
        <f>M5+M25</f>
        <v>193.89999999999998</v>
      </c>
      <c r="N36" s="81">
        <f>N5+N25</f>
        <v>210.6</v>
      </c>
      <c r="O36" s="93">
        <f t="shared" si="2"/>
        <v>0.9207027540360873</v>
      </c>
      <c r="P36" s="81">
        <f>P5+P25</f>
        <v>140.89999999999998</v>
      </c>
      <c r="Q36" s="81">
        <f>Q5+Q25</f>
        <v>126.19999999999999</v>
      </c>
      <c r="R36" s="81">
        <f>R5+R25</f>
        <v>117.89999999999999</v>
      </c>
      <c r="T36" s="133"/>
    </row>
    <row r="37" spans="1:18" ht="18">
      <c r="A37" s="9" t="s">
        <v>94</v>
      </c>
      <c r="B37" s="9"/>
      <c r="C37" s="81">
        <f aca="true" t="shared" si="16" ref="C37:H37">C36-C11</f>
        <v>2136.2000000000003</v>
      </c>
      <c r="D37" s="80">
        <f t="shared" si="16"/>
        <v>549.79</v>
      </c>
      <c r="E37" s="80">
        <f t="shared" si="16"/>
        <v>2685.9900000000002</v>
      </c>
      <c r="F37" s="81">
        <f t="shared" si="16"/>
        <v>0</v>
      </c>
      <c r="G37" s="81">
        <f>G36-G11</f>
        <v>204.3</v>
      </c>
      <c r="H37" s="81">
        <f t="shared" si="16"/>
        <v>337.4</v>
      </c>
      <c r="I37" s="93">
        <f>IF(E37&gt;0,H37/E37,0)</f>
        <v>0.12561476401624724</v>
      </c>
      <c r="J37" s="93">
        <f>IF(F37&gt;0,H37/F37,0)</f>
        <v>0</v>
      </c>
      <c r="K37" s="81">
        <f>K36-K11</f>
        <v>403.9000000000001</v>
      </c>
      <c r="L37" s="93">
        <f t="shared" si="4"/>
        <v>0.8353552859618715</v>
      </c>
      <c r="M37" s="81">
        <f>M36-M11</f>
        <v>133.09999999999997</v>
      </c>
      <c r="N37" s="81">
        <f>N36-N11</f>
        <v>140.2</v>
      </c>
      <c r="O37" s="93">
        <f t="shared" si="2"/>
        <v>0.9493580599144078</v>
      </c>
      <c r="P37" s="81"/>
      <c r="Q37" s="81"/>
      <c r="R37" s="81"/>
    </row>
    <row r="38" spans="1:18" ht="18">
      <c r="A38" s="13" t="s">
        <v>25</v>
      </c>
      <c r="B38" s="13">
        <v>2000000000</v>
      </c>
      <c r="C38" s="73">
        <v>733.97</v>
      </c>
      <c r="D38" s="84"/>
      <c r="E38" s="84">
        <f>C38+D38</f>
        <v>733.97</v>
      </c>
      <c r="F38" s="73"/>
      <c r="G38" s="73">
        <v>113.7</v>
      </c>
      <c r="H38" s="70">
        <f>G38+M38</f>
        <v>182.60000000000002</v>
      </c>
      <c r="I38" s="79">
        <f t="shared" si="1"/>
        <v>0.2487840102456504</v>
      </c>
      <c r="J38" s="79">
        <f t="shared" si="5"/>
        <v>0</v>
      </c>
      <c r="K38" s="73">
        <v>147</v>
      </c>
      <c r="L38" s="79">
        <f t="shared" si="4"/>
        <v>1.2421768707482994</v>
      </c>
      <c r="M38" s="73">
        <v>68.9</v>
      </c>
      <c r="N38" s="73">
        <v>52.8</v>
      </c>
      <c r="O38" s="79">
        <f t="shared" si="2"/>
        <v>1.3049242424242427</v>
      </c>
      <c r="P38" s="73"/>
      <c r="Q38" s="73"/>
      <c r="R38" s="73"/>
    </row>
    <row r="39" spans="1:18" ht="18">
      <c r="A39" s="13" t="s">
        <v>48</v>
      </c>
      <c r="B39" s="34" t="s">
        <v>104</v>
      </c>
      <c r="C39" s="73"/>
      <c r="D39" s="84"/>
      <c r="E39" s="73">
        <f>C39+D39</f>
        <v>0</v>
      </c>
      <c r="F39" s="73"/>
      <c r="G39" s="73"/>
      <c r="H39" s="70">
        <f>G39+M39</f>
        <v>60</v>
      </c>
      <c r="I39" s="79">
        <f>IF(E39&gt;0,H39/E39,0)</f>
        <v>0</v>
      </c>
      <c r="J39" s="79">
        <f>IF(F39&gt;0,H39/F39,0)</f>
        <v>0</v>
      </c>
      <c r="K39" s="73"/>
      <c r="L39" s="79"/>
      <c r="M39" s="73">
        <v>60</v>
      </c>
      <c r="N39" s="73"/>
      <c r="O39" s="79">
        <f t="shared" si="2"/>
        <v>0</v>
      </c>
      <c r="P39" s="73"/>
      <c r="Q39" s="73"/>
      <c r="R39" s="73"/>
    </row>
    <row r="40" spans="1:18" ht="18">
      <c r="A40" s="9" t="s">
        <v>2</v>
      </c>
      <c r="B40" s="9">
        <v>0</v>
      </c>
      <c r="C40" s="90">
        <f aca="true" t="shared" si="17" ref="C40:H40">C36+C38+C39</f>
        <v>3345.7700000000004</v>
      </c>
      <c r="D40" s="90">
        <f t="shared" si="17"/>
        <v>549.79</v>
      </c>
      <c r="E40" s="80">
        <f t="shared" si="17"/>
        <v>3895.5600000000004</v>
      </c>
      <c r="F40" s="81">
        <f t="shared" si="17"/>
        <v>0</v>
      </c>
      <c r="G40" s="81">
        <f t="shared" si="17"/>
        <v>371.3</v>
      </c>
      <c r="H40" s="81">
        <f t="shared" si="17"/>
        <v>694.1</v>
      </c>
      <c r="I40" s="93">
        <f t="shared" si="1"/>
        <v>0.17817720687141256</v>
      </c>
      <c r="J40" s="93"/>
      <c r="K40" s="81">
        <f>K36+K38+K39</f>
        <v>662.3000000000001</v>
      </c>
      <c r="L40" s="93">
        <f t="shared" si="4"/>
        <v>1.0480144949418693</v>
      </c>
      <c r="M40" s="81">
        <f>M36+M38+M39</f>
        <v>322.79999999999995</v>
      </c>
      <c r="N40" s="81">
        <f>N36+N38+N39</f>
        <v>263.4</v>
      </c>
      <c r="O40" s="93">
        <f t="shared" si="2"/>
        <v>1.225512528473804</v>
      </c>
      <c r="P40" s="94">
        <f>P36+P38</f>
        <v>140.89999999999998</v>
      </c>
      <c r="Q40" s="81">
        <f>Q36+Q38</f>
        <v>126.19999999999999</v>
      </c>
      <c r="R40" s="81">
        <f>R36+R38</f>
        <v>117.89999999999999</v>
      </c>
    </row>
    <row r="41" spans="8:9" ht="21.75" customHeight="1">
      <c r="H41" s="27"/>
      <c r="I41" s="27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66" t="s">
        <v>11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49"/>
      <c r="O1" s="49"/>
      <c r="P1" s="26"/>
      <c r="Q1" s="26"/>
      <c r="R1" s="26"/>
    </row>
    <row r="2" spans="1:18" ht="15.75">
      <c r="A2" s="26"/>
      <c r="B2" s="175" t="s">
        <v>129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3.5" customHeight="1">
      <c r="A3" s="164" t="s">
        <v>3</v>
      </c>
      <c r="B3" s="164" t="s">
        <v>4</v>
      </c>
      <c r="C3" s="164" t="s">
        <v>114</v>
      </c>
      <c r="D3" s="164" t="s">
        <v>24</v>
      </c>
      <c r="E3" s="164" t="s">
        <v>115</v>
      </c>
      <c r="F3" s="164" t="s">
        <v>101</v>
      </c>
      <c r="G3" s="164" t="s">
        <v>118</v>
      </c>
      <c r="H3" s="164" t="s">
        <v>116</v>
      </c>
      <c r="I3" s="164"/>
      <c r="J3" s="164"/>
      <c r="K3" s="164" t="s">
        <v>108</v>
      </c>
      <c r="L3" s="164"/>
      <c r="M3" s="164" t="s">
        <v>121</v>
      </c>
      <c r="N3" s="164" t="s">
        <v>122</v>
      </c>
      <c r="O3" s="164" t="s">
        <v>30</v>
      </c>
      <c r="P3" s="164" t="s">
        <v>9</v>
      </c>
      <c r="Q3" s="164"/>
      <c r="R3" s="164"/>
    </row>
    <row r="4" spans="1:18" ht="104.25" customHeight="1">
      <c r="A4" s="174"/>
      <c r="B4" s="174"/>
      <c r="C4" s="164"/>
      <c r="D4" s="164"/>
      <c r="E4" s="164"/>
      <c r="F4" s="164"/>
      <c r="G4" s="164"/>
      <c r="H4" s="47" t="s">
        <v>120</v>
      </c>
      <c r="I4" s="47" t="s">
        <v>10</v>
      </c>
      <c r="J4" s="47" t="s">
        <v>29</v>
      </c>
      <c r="K4" s="47" t="s">
        <v>120</v>
      </c>
      <c r="L4" s="47" t="s">
        <v>30</v>
      </c>
      <c r="M4" s="164"/>
      <c r="N4" s="164"/>
      <c r="O4" s="164"/>
      <c r="P4" s="124" t="s">
        <v>117</v>
      </c>
      <c r="Q4" s="124" t="s">
        <v>119</v>
      </c>
      <c r="R4" s="124" t="s">
        <v>123</v>
      </c>
    </row>
    <row r="5" spans="1:18" ht="20.25" customHeight="1">
      <c r="A5" s="29" t="s">
        <v>21</v>
      </c>
      <c r="B5" s="29"/>
      <c r="C5" s="91">
        <f aca="true" t="shared" si="0" ref="C5:H5">C6+C16+C18+C23+C24+C11</f>
        <v>838.5999999999999</v>
      </c>
      <c r="D5" s="91">
        <f t="shared" si="0"/>
        <v>200</v>
      </c>
      <c r="E5" s="91">
        <f t="shared" si="0"/>
        <v>1038.6</v>
      </c>
      <c r="F5" s="91">
        <f t="shared" si="0"/>
        <v>0</v>
      </c>
      <c r="G5" s="91">
        <f t="shared" si="0"/>
        <v>108.5</v>
      </c>
      <c r="H5" s="91">
        <f t="shared" si="0"/>
        <v>201.29999999999995</v>
      </c>
      <c r="I5" s="92">
        <f aca="true" t="shared" si="1" ref="I5:I40">IF(E5&gt;0,H5/E5,0)</f>
        <v>0.19381860196418252</v>
      </c>
      <c r="J5" s="92">
        <f>IF(F5&gt;0,H5/F5,0)</f>
        <v>0</v>
      </c>
      <c r="K5" s="91">
        <f>K6+K16+K18+K23+K24+K11</f>
        <v>179.2</v>
      </c>
      <c r="L5" s="92">
        <f>IF(K5&gt;0,H5/K5,0)</f>
        <v>1.1233258928571426</v>
      </c>
      <c r="M5" s="91">
        <f>M6+M16+M18+M23+M24+M11</f>
        <v>92.8</v>
      </c>
      <c r="N5" s="91">
        <f>N6+N16+N18+N23+N24+N11</f>
        <v>102.5</v>
      </c>
      <c r="O5" s="92">
        <f aca="true" t="shared" si="2" ref="O5:O33">IF(N5&gt;0,M5/N5,0)</f>
        <v>0.9053658536585366</v>
      </c>
      <c r="P5" s="91">
        <f>P6+P16+P18+P23+P24+P11</f>
        <v>69.10000000000001</v>
      </c>
      <c r="Q5" s="91">
        <f>Q6+Q16+Q18+Q23+Q24+Q11</f>
        <v>52.900000000000006</v>
      </c>
      <c r="R5" s="91">
        <f>R6+R16+R18+R23+R24+R11</f>
        <v>52</v>
      </c>
    </row>
    <row r="6" spans="1:18" ht="18">
      <c r="A6" s="9" t="s">
        <v>65</v>
      </c>
      <c r="B6" s="30">
        <v>1010200001</v>
      </c>
      <c r="C6" s="74">
        <f aca="true" t="shared" si="3" ref="C6:H6">C7+C8+C9+C10</f>
        <v>227.29999999999998</v>
      </c>
      <c r="D6" s="74">
        <f t="shared" si="3"/>
        <v>200</v>
      </c>
      <c r="E6" s="74">
        <f t="shared" si="3"/>
        <v>427.30000000000007</v>
      </c>
      <c r="F6" s="74">
        <f t="shared" si="3"/>
        <v>0</v>
      </c>
      <c r="G6" s="74">
        <f t="shared" si="3"/>
        <v>38</v>
      </c>
      <c r="H6" s="74">
        <f t="shared" si="3"/>
        <v>59.6</v>
      </c>
      <c r="I6" s="89">
        <f t="shared" si="1"/>
        <v>0.1394804586941259</v>
      </c>
      <c r="J6" s="89">
        <f>IF(F6&gt;0,H6/F6,0)</f>
        <v>0</v>
      </c>
      <c r="K6" s="74">
        <f>K7+K8+K9+K10</f>
        <v>48.8</v>
      </c>
      <c r="L6" s="89">
        <f aca="true" t="shared" si="4" ref="L6:L40">IF(K6&gt;0,H6/K6,0)</f>
        <v>1.2213114754098362</v>
      </c>
      <c r="M6" s="74">
        <f>M7+M8+M9+M10</f>
        <v>21.6</v>
      </c>
      <c r="N6" s="74">
        <f>N7+N8+N9+N10</f>
        <v>20.8</v>
      </c>
      <c r="O6" s="89">
        <f t="shared" si="2"/>
        <v>1.0384615384615385</v>
      </c>
      <c r="P6" s="74">
        <f>P7+P8+P9+P10</f>
        <v>0</v>
      </c>
      <c r="Q6" s="74">
        <f>Q7+Q8+Q9+Q10</f>
        <v>0</v>
      </c>
      <c r="R6" s="74">
        <f>R7+R8+R9+R10</f>
        <v>0</v>
      </c>
    </row>
    <row r="7" spans="1:18" ht="18" customHeight="1">
      <c r="A7" s="10" t="s">
        <v>46</v>
      </c>
      <c r="B7" s="13">
        <v>1010201001</v>
      </c>
      <c r="C7" s="73">
        <v>227.1</v>
      </c>
      <c r="D7" s="70">
        <f>200</f>
        <v>200</v>
      </c>
      <c r="E7" s="73">
        <f>C7+D7</f>
        <v>427.1</v>
      </c>
      <c r="F7" s="73"/>
      <c r="G7" s="70">
        <v>38</v>
      </c>
      <c r="H7" s="70">
        <f>G7+M7</f>
        <v>59.6</v>
      </c>
      <c r="I7" s="79">
        <f t="shared" si="1"/>
        <v>0.13954577382346053</v>
      </c>
      <c r="J7" s="79">
        <f aca="true" t="shared" si="5" ref="J7:J38">IF(F7&gt;0,H7/F7,0)</f>
        <v>0</v>
      </c>
      <c r="K7" s="70">
        <v>48.8</v>
      </c>
      <c r="L7" s="79">
        <f t="shared" si="4"/>
        <v>1.2213114754098362</v>
      </c>
      <c r="M7" s="70">
        <v>21.6</v>
      </c>
      <c r="N7" s="70">
        <v>20.8</v>
      </c>
      <c r="O7" s="79">
        <f t="shared" si="2"/>
        <v>1.0384615384615385</v>
      </c>
      <c r="P7" s="73"/>
      <c r="Q7" s="73"/>
      <c r="R7" s="73"/>
    </row>
    <row r="8" spans="1:18" ht="15" customHeight="1">
      <c r="A8" s="10" t="s">
        <v>45</v>
      </c>
      <c r="B8" s="13">
        <v>1010202001</v>
      </c>
      <c r="C8" s="73">
        <v>0.1</v>
      </c>
      <c r="D8" s="70"/>
      <c r="E8" s="73">
        <f>C8+D8</f>
        <v>0.1</v>
      </c>
      <c r="F8" s="73"/>
      <c r="G8" s="73"/>
      <c r="H8" s="70">
        <f>G8+M8</f>
        <v>0</v>
      </c>
      <c r="I8" s="79">
        <f t="shared" si="1"/>
        <v>0</v>
      </c>
      <c r="J8" s="79">
        <f t="shared" si="5"/>
        <v>0</v>
      </c>
      <c r="K8" s="73"/>
      <c r="L8" s="79">
        <f>IF(K8&gt;0,H8/K8,0)</f>
        <v>0</v>
      </c>
      <c r="M8" s="73"/>
      <c r="N8" s="73"/>
      <c r="O8" s="79">
        <f>IF(N8&gt;0,M8/N8,0)</f>
        <v>0</v>
      </c>
      <c r="P8" s="73"/>
      <c r="Q8" s="73"/>
      <c r="R8" s="73"/>
    </row>
    <row r="9" spans="1:18" ht="18">
      <c r="A9" s="10" t="s">
        <v>43</v>
      </c>
      <c r="B9" s="13">
        <v>1010203001</v>
      </c>
      <c r="C9" s="73">
        <v>0.1</v>
      </c>
      <c r="D9" s="73"/>
      <c r="E9" s="73">
        <f>C9+D9</f>
        <v>0.1</v>
      </c>
      <c r="F9" s="73"/>
      <c r="G9" s="73"/>
      <c r="H9" s="70">
        <f>G9+M9</f>
        <v>0</v>
      </c>
      <c r="I9" s="79">
        <f t="shared" si="1"/>
        <v>0</v>
      </c>
      <c r="J9" s="79">
        <f t="shared" si="5"/>
        <v>0</v>
      </c>
      <c r="K9" s="73"/>
      <c r="L9" s="79">
        <f t="shared" si="4"/>
        <v>0</v>
      </c>
      <c r="M9" s="73"/>
      <c r="N9" s="73"/>
      <c r="O9" s="79">
        <f t="shared" si="2"/>
        <v>0</v>
      </c>
      <c r="P9" s="73"/>
      <c r="Q9" s="73"/>
      <c r="R9" s="73"/>
    </row>
    <row r="10" spans="1:18" ht="15.75" customHeight="1" hidden="1">
      <c r="A10" s="10" t="s">
        <v>44</v>
      </c>
      <c r="B10" s="13">
        <v>1010204001</v>
      </c>
      <c r="C10" s="73"/>
      <c r="D10" s="73"/>
      <c r="E10" s="73">
        <f>C10+D10</f>
        <v>0</v>
      </c>
      <c r="F10" s="73"/>
      <c r="G10" s="73"/>
      <c r="H10" s="70">
        <f>G10+M10</f>
        <v>0</v>
      </c>
      <c r="I10" s="79">
        <f t="shared" si="1"/>
        <v>0</v>
      </c>
      <c r="J10" s="79">
        <f t="shared" si="5"/>
        <v>0</v>
      </c>
      <c r="K10" s="73"/>
      <c r="L10" s="79">
        <f t="shared" si="4"/>
        <v>0</v>
      </c>
      <c r="M10" s="73"/>
      <c r="N10" s="73"/>
      <c r="O10" s="79">
        <f t="shared" si="2"/>
        <v>0</v>
      </c>
      <c r="P10" s="73"/>
      <c r="Q10" s="73"/>
      <c r="R10" s="73"/>
    </row>
    <row r="11" spans="1:18" ht="30.75" customHeight="1">
      <c r="A11" s="11" t="s">
        <v>50</v>
      </c>
      <c r="B11" s="19">
        <v>1030200001</v>
      </c>
      <c r="C11" s="74">
        <f aca="true" t="shared" si="6" ref="C11:H11">SUM(C12:C15)</f>
        <v>556.3</v>
      </c>
      <c r="D11" s="74">
        <f t="shared" si="6"/>
        <v>0</v>
      </c>
      <c r="E11" s="74">
        <f t="shared" si="6"/>
        <v>556.3</v>
      </c>
      <c r="F11" s="74">
        <f t="shared" si="6"/>
        <v>0</v>
      </c>
      <c r="G11" s="74">
        <f>SUM(G12:G15)</f>
        <v>62.099999999999994</v>
      </c>
      <c r="H11" s="74">
        <f t="shared" si="6"/>
        <v>132.99999999999997</v>
      </c>
      <c r="I11" s="68">
        <f t="shared" si="1"/>
        <v>0.2390796332913895</v>
      </c>
      <c r="J11" s="68">
        <f>IF(F11&gt;0,H11/F11,0)</f>
        <v>0</v>
      </c>
      <c r="K11" s="74">
        <f>SUM(K12:K15)</f>
        <v>129.79999999999998</v>
      </c>
      <c r="L11" s="68">
        <f t="shared" si="4"/>
        <v>1.024653312788906</v>
      </c>
      <c r="M11" s="74">
        <f>SUM(M12:M15)</f>
        <v>70.89999999999999</v>
      </c>
      <c r="N11" s="74">
        <f>SUM(N12:N15)</f>
        <v>82.1</v>
      </c>
      <c r="O11" s="68">
        <f t="shared" si="2"/>
        <v>0.8635809987819731</v>
      </c>
      <c r="P11" s="74">
        <f>SUM(P12:P15)</f>
        <v>0</v>
      </c>
      <c r="Q11" s="74">
        <f>SUM(Q12:Q15)</f>
        <v>0</v>
      </c>
      <c r="R11" s="74">
        <f>SUM(R12:R15)</f>
        <v>0</v>
      </c>
    </row>
    <row r="12" spans="1:18" ht="18.75" customHeight="1">
      <c r="A12" s="12" t="s">
        <v>51</v>
      </c>
      <c r="B12" s="12">
        <v>1030223001</v>
      </c>
      <c r="C12" s="73">
        <v>195.7</v>
      </c>
      <c r="D12" s="73"/>
      <c r="E12" s="69">
        <f>C12+D12</f>
        <v>195.7</v>
      </c>
      <c r="F12" s="69"/>
      <c r="G12" s="73">
        <v>26.1</v>
      </c>
      <c r="H12" s="71">
        <f>G12+M12</f>
        <v>54.8</v>
      </c>
      <c r="I12" s="72">
        <f t="shared" si="1"/>
        <v>0.28002043944813493</v>
      </c>
      <c r="J12" s="72">
        <f>IF(F12&gt;0,H12/F12,0)</f>
        <v>0</v>
      </c>
      <c r="K12" s="73">
        <v>48.3</v>
      </c>
      <c r="L12" s="72">
        <f t="shared" si="4"/>
        <v>1.134575569358178</v>
      </c>
      <c r="M12" s="73">
        <v>28.7</v>
      </c>
      <c r="N12" s="73">
        <v>31.4</v>
      </c>
      <c r="O12" s="72">
        <f t="shared" si="2"/>
        <v>0.9140127388535032</v>
      </c>
      <c r="P12" s="73"/>
      <c r="Q12" s="73"/>
      <c r="R12" s="73"/>
    </row>
    <row r="13" spans="1:18" ht="18.75" customHeight="1">
      <c r="A13" s="12" t="s">
        <v>52</v>
      </c>
      <c r="B13" s="12">
        <v>1030224001</v>
      </c>
      <c r="C13" s="73">
        <v>1.6</v>
      </c>
      <c r="D13" s="73"/>
      <c r="E13" s="69">
        <f>C13+D13</f>
        <v>1.6</v>
      </c>
      <c r="F13" s="69"/>
      <c r="G13" s="73">
        <v>0.1</v>
      </c>
      <c r="H13" s="71">
        <f>G13+M13</f>
        <v>0.4</v>
      </c>
      <c r="I13" s="72">
        <f t="shared" si="1"/>
        <v>0.25</v>
      </c>
      <c r="J13" s="72">
        <f>IF(F13&gt;0,H13/F13,0)</f>
        <v>0</v>
      </c>
      <c r="K13" s="73">
        <v>0.5</v>
      </c>
      <c r="L13" s="72">
        <f t="shared" si="4"/>
        <v>0.8</v>
      </c>
      <c r="M13" s="73">
        <v>0.3</v>
      </c>
      <c r="N13" s="73">
        <v>0.3</v>
      </c>
      <c r="O13" s="72">
        <f t="shared" si="2"/>
        <v>1</v>
      </c>
      <c r="P13" s="73"/>
      <c r="Q13" s="73"/>
      <c r="R13" s="73"/>
    </row>
    <row r="14" spans="1:18" ht="18" customHeight="1">
      <c r="A14" s="12" t="s">
        <v>53</v>
      </c>
      <c r="B14" s="12">
        <v>1030225001</v>
      </c>
      <c r="C14" s="73">
        <v>395.6</v>
      </c>
      <c r="D14" s="73"/>
      <c r="E14" s="69">
        <f>C14+D14</f>
        <v>395.6</v>
      </c>
      <c r="F14" s="69"/>
      <c r="G14" s="73">
        <v>42.4</v>
      </c>
      <c r="H14" s="71">
        <f>G14+M14</f>
        <v>89.19999999999999</v>
      </c>
      <c r="I14" s="72">
        <f t="shared" si="1"/>
        <v>0.22548028311425677</v>
      </c>
      <c r="J14" s="72">
        <f>IF(F14&gt;0,H14/F14,0)</f>
        <v>0</v>
      </c>
      <c r="K14" s="73">
        <v>89.9</v>
      </c>
      <c r="L14" s="72">
        <f t="shared" si="4"/>
        <v>0.9922135706340376</v>
      </c>
      <c r="M14" s="73">
        <v>46.8</v>
      </c>
      <c r="N14" s="73">
        <v>56.6</v>
      </c>
      <c r="O14" s="72">
        <f t="shared" si="2"/>
        <v>0.8268551236749115</v>
      </c>
      <c r="P14" s="73"/>
      <c r="Q14" s="73"/>
      <c r="R14" s="73"/>
    </row>
    <row r="15" spans="1:18" ht="18" customHeight="1">
      <c r="A15" s="12" t="s">
        <v>54</v>
      </c>
      <c r="B15" s="12">
        <v>1030226001</v>
      </c>
      <c r="C15" s="73">
        <v>-36.6</v>
      </c>
      <c r="D15" s="73"/>
      <c r="E15" s="69">
        <f>C15+D15</f>
        <v>-36.6</v>
      </c>
      <c r="F15" s="69"/>
      <c r="G15" s="73">
        <v>-6.5</v>
      </c>
      <c r="H15" s="71">
        <f>G15+M15</f>
        <v>-11.4</v>
      </c>
      <c r="I15" s="72">
        <f t="shared" si="1"/>
        <v>0</v>
      </c>
      <c r="J15" s="72">
        <f>IF(F15&gt;0,H15/F15,0)</f>
        <v>0</v>
      </c>
      <c r="K15" s="73">
        <v>-8.9</v>
      </c>
      <c r="L15" s="72">
        <f t="shared" si="4"/>
        <v>0</v>
      </c>
      <c r="M15" s="73">
        <v>-4.9</v>
      </c>
      <c r="N15" s="73">
        <v>-6.2</v>
      </c>
      <c r="O15" s="72">
        <f t="shared" si="2"/>
        <v>0</v>
      </c>
      <c r="P15" s="73"/>
      <c r="Q15" s="73"/>
      <c r="R15" s="73"/>
    </row>
    <row r="16" spans="1:18" ht="18">
      <c r="A16" s="9" t="s">
        <v>72</v>
      </c>
      <c r="B16" s="30">
        <v>1050000000</v>
      </c>
      <c r="C16" s="74">
        <f aca="true" t="shared" si="7" ref="C16:H16">C17</f>
        <v>1</v>
      </c>
      <c r="D16" s="75">
        <f t="shared" si="7"/>
        <v>0</v>
      </c>
      <c r="E16" s="75">
        <f t="shared" si="7"/>
        <v>1</v>
      </c>
      <c r="F16" s="75">
        <f t="shared" si="7"/>
        <v>0</v>
      </c>
      <c r="G16" s="74">
        <f>G17</f>
        <v>0</v>
      </c>
      <c r="H16" s="75">
        <f t="shared" si="7"/>
        <v>0</v>
      </c>
      <c r="I16" s="89">
        <f t="shared" si="1"/>
        <v>0</v>
      </c>
      <c r="J16" s="89">
        <f t="shared" si="5"/>
        <v>0</v>
      </c>
      <c r="K16" s="74">
        <f>K17</f>
        <v>0</v>
      </c>
      <c r="L16" s="89">
        <f t="shared" si="4"/>
        <v>0</v>
      </c>
      <c r="M16" s="74">
        <f>M17</f>
        <v>0</v>
      </c>
      <c r="N16" s="74">
        <f>N17</f>
        <v>0</v>
      </c>
      <c r="O16" s="89">
        <f t="shared" si="2"/>
        <v>0</v>
      </c>
      <c r="P16" s="74">
        <f>P17</f>
        <v>0</v>
      </c>
      <c r="Q16" s="74">
        <f>Q17</f>
        <v>0</v>
      </c>
      <c r="R16" s="74">
        <f>R17</f>
        <v>0</v>
      </c>
    </row>
    <row r="17" spans="1:18" ht="18">
      <c r="A17" s="13" t="s">
        <v>7</v>
      </c>
      <c r="B17" s="13">
        <v>1050300001</v>
      </c>
      <c r="C17" s="73">
        <v>1</v>
      </c>
      <c r="D17" s="70"/>
      <c r="E17" s="73">
        <f>C17+D17</f>
        <v>1</v>
      </c>
      <c r="F17" s="73"/>
      <c r="G17" s="73"/>
      <c r="H17" s="70">
        <f>G17+M17</f>
        <v>0</v>
      </c>
      <c r="I17" s="79">
        <f t="shared" si="1"/>
        <v>0</v>
      </c>
      <c r="J17" s="79">
        <f t="shared" si="5"/>
        <v>0</v>
      </c>
      <c r="K17" s="73"/>
      <c r="L17" s="79">
        <f t="shared" si="4"/>
        <v>0</v>
      </c>
      <c r="M17" s="73"/>
      <c r="N17" s="73"/>
      <c r="O17" s="79">
        <f t="shared" si="2"/>
        <v>0</v>
      </c>
      <c r="P17" s="73"/>
      <c r="Q17" s="73"/>
      <c r="R17" s="73"/>
    </row>
    <row r="18" spans="1:18" ht="18">
      <c r="A18" s="9" t="s">
        <v>73</v>
      </c>
      <c r="B18" s="30">
        <v>1060000000</v>
      </c>
      <c r="C18" s="74">
        <f aca="true" t="shared" si="8" ref="C18:H18">C19+C22</f>
        <v>52</v>
      </c>
      <c r="D18" s="75">
        <f t="shared" si="8"/>
        <v>0</v>
      </c>
      <c r="E18" s="75">
        <f t="shared" si="8"/>
        <v>52</v>
      </c>
      <c r="F18" s="75">
        <f t="shared" si="8"/>
        <v>0</v>
      </c>
      <c r="G18" s="74">
        <f>G19+G22</f>
        <v>8.399999999999999</v>
      </c>
      <c r="H18" s="75">
        <f t="shared" si="8"/>
        <v>8.700000000000001</v>
      </c>
      <c r="I18" s="89">
        <f t="shared" si="1"/>
        <v>0.16730769230769232</v>
      </c>
      <c r="J18" s="89">
        <f t="shared" si="5"/>
        <v>0</v>
      </c>
      <c r="K18" s="74">
        <f>K19+K22</f>
        <v>0.3999999999999999</v>
      </c>
      <c r="L18" s="89">
        <f t="shared" si="4"/>
        <v>21.750000000000007</v>
      </c>
      <c r="M18" s="74">
        <f>M19+M22</f>
        <v>0.30000000000000004</v>
      </c>
      <c r="N18" s="74">
        <f>N19+N22</f>
        <v>-0.6000000000000001</v>
      </c>
      <c r="O18" s="89">
        <f t="shared" si="2"/>
        <v>0</v>
      </c>
      <c r="P18" s="74">
        <f>P19+P22</f>
        <v>69.10000000000001</v>
      </c>
      <c r="Q18" s="74">
        <f>Q19+Q22</f>
        <v>52.900000000000006</v>
      </c>
      <c r="R18" s="74">
        <f>R19+R22</f>
        <v>52</v>
      </c>
    </row>
    <row r="19" spans="1:18" ht="18">
      <c r="A19" s="13" t="s">
        <v>13</v>
      </c>
      <c r="B19" s="13">
        <v>1060600000</v>
      </c>
      <c r="C19" s="73">
        <f aca="true" t="shared" si="9" ref="C19:H19">C20+C21</f>
        <v>38</v>
      </c>
      <c r="D19" s="70">
        <f t="shared" si="9"/>
        <v>0</v>
      </c>
      <c r="E19" s="70">
        <f t="shared" si="9"/>
        <v>38</v>
      </c>
      <c r="F19" s="70">
        <f t="shared" si="9"/>
        <v>0</v>
      </c>
      <c r="G19" s="73">
        <f>G20+G21</f>
        <v>7.699999999999999</v>
      </c>
      <c r="H19" s="70">
        <f t="shared" si="9"/>
        <v>7.9</v>
      </c>
      <c r="I19" s="79">
        <f t="shared" si="1"/>
        <v>0.20789473684210527</v>
      </c>
      <c r="J19" s="79">
        <f t="shared" si="5"/>
        <v>0</v>
      </c>
      <c r="K19" s="73">
        <f>K20+K21</f>
        <v>1.5</v>
      </c>
      <c r="L19" s="79">
        <f t="shared" si="4"/>
        <v>5.266666666666667</v>
      </c>
      <c r="M19" s="73">
        <f>M20+M21</f>
        <v>0.2</v>
      </c>
      <c r="N19" s="73">
        <f>N20+N21</f>
        <v>0.3</v>
      </c>
      <c r="O19" s="79">
        <f t="shared" si="2"/>
        <v>0.6666666666666667</v>
      </c>
      <c r="P19" s="73">
        <f>P20+P21</f>
        <v>54.900000000000006</v>
      </c>
      <c r="Q19" s="73">
        <f>Q20+Q21</f>
        <v>41.6</v>
      </c>
      <c r="R19" s="73">
        <f>R20+R21</f>
        <v>40.7</v>
      </c>
    </row>
    <row r="20" spans="1:18" ht="18">
      <c r="A20" s="13" t="s">
        <v>102</v>
      </c>
      <c r="B20" s="13">
        <v>1060603310</v>
      </c>
      <c r="C20" s="73">
        <v>5</v>
      </c>
      <c r="D20" s="70"/>
      <c r="E20" s="73">
        <f>C20+D20</f>
        <v>5</v>
      </c>
      <c r="F20" s="73"/>
      <c r="G20" s="73">
        <v>4.6</v>
      </c>
      <c r="H20" s="70">
        <f>G20+M20</f>
        <v>4.6</v>
      </c>
      <c r="I20" s="79">
        <f t="shared" si="1"/>
        <v>0.9199999999999999</v>
      </c>
      <c r="J20" s="79">
        <f t="shared" si="5"/>
        <v>0</v>
      </c>
      <c r="K20" s="73">
        <v>1</v>
      </c>
      <c r="L20" s="79">
        <f t="shared" si="4"/>
        <v>4.6</v>
      </c>
      <c r="M20" s="73"/>
      <c r="N20" s="73"/>
      <c r="O20" s="79">
        <f t="shared" si="2"/>
        <v>0</v>
      </c>
      <c r="P20" s="73">
        <v>4.7</v>
      </c>
      <c r="Q20" s="73">
        <v>4.7</v>
      </c>
      <c r="R20" s="73">
        <v>4.7</v>
      </c>
    </row>
    <row r="21" spans="1:18" ht="18">
      <c r="A21" s="13" t="s">
        <v>103</v>
      </c>
      <c r="B21" s="13">
        <v>1060604310</v>
      </c>
      <c r="C21" s="73">
        <v>33</v>
      </c>
      <c r="D21" s="70"/>
      <c r="E21" s="73">
        <f>C21+D21</f>
        <v>33</v>
      </c>
      <c r="F21" s="73"/>
      <c r="G21" s="73">
        <v>3.1</v>
      </c>
      <c r="H21" s="70">
        <f>G21+M21</f>
        <v>3.3000000000000003</v>
      </c>
      <c r="I21" s="79">
        <f t="shared" si="1"/>
        <v>0.1</v>
      </c>
      <c r="J21" s="79">
        <f t="shared" si="5"/>
        <v>0</v>
      </c>
      <c r="K21" s="73">
        <v>0.5</v>
      </c>
      <c r="L21" s="79">
        <f t="shared" si="4"/>
        <v>6.6000000000000005</v>
      </c>
      <c r="M21" s="73">
        <v>0.2</v>
      </c>
      <c r="N21" s="73">
        <v>0.3</v>
      </c>
      <c r="O21" s="79">
        <f t="shared" si="2"/>
        <v>0.6666666666666667</v>
      </c>
      <c r="P21" s="73">
        <v>50.2</v>
      </c>
      <c r="Q21" s="73">
        <v>36.9</v>
      </c>
      <c r="R21" s="73">
        <v>36</v>
      </c>
    </row>
    <row r="22" spans="1:18" ht="18">
      <c r="A22" s="13" t="s">
        <v>12</v>
      </c>
      <c r="B22" s="13">
        <v>1060103010</v>
      </c>
      <c r="C22" s="73">
        <v>14</v>
      </c>
      <c r="D22" s="70"/>
      <c r="E22" s="73">
        <f>C22+D22</f>
        <v>14</v>
      </c>
      <c r="F22" s="73"/>
      <c r="G22" s="73">
        <v>0.7</v>
      </c>
      <c r="H22" s="70">
        <f>G22+M22</f>
        <v>0.7999999999999999</v>
      </c>
      <c r="I22" s="79">
        <f t="shared" si="1"/>
        <v>0.05714285714285714</v>
      </c>
      <c r="J22" s="79">
        <f t="shared" si="5"/>
        <v>0</v>
      </c>
      <c r="K22" s="73">
        <v>-1.1</v>
      </c>
      <c r="L22" s="79">
        <f t="shared" si="4"/>
        <v>0</v>
      </c>
      <c r="M22" s="73">
        <v>0.1</v>
      </c>
      <c r="N22" s="73">
        <v>-0.9</v>
      </c>
      <c r="O22" s="79">
        <f t="shared" si="2"/>
        <v>0</v>
      </c>
      <c r="P22" s="73">
        <v>14.2</v>
      </c>
      <c r="Q22" s="73">
        <v>11.3</v>
      </c>
      <c r="R22" s="73">
        <v>11.3</v>
      </c>
    </row>
    <row r="23" spans="1:18" ht="18">
      <c r="A23" s="9" t="s">
        <v>74</v>
      </c>
      <c r="B23" s="30">
        <v>1080402001</v>
      </c>
      <c r="C23" s="74">
        <v>2</v>
      </c>
      <c r="D23" s="75"/>
      <c r="E23" s="74">
        <f>C23+D23</f>
        <v>2</v>
      </c>
      <c r="F23" s="74"/>
      <c r="G23" s="74"/>
      <c r="H23" s="75">
        <f>G23+M23</f>
        <v>0</v>
      </c>
      <c r="I23" s="89">
        <f t="shared" si="1"/>
        <v>0</v>
      </c>
      <c r="J23" s="89">
        <f t="shared" si="5"/>
        <v>0</v>
      </c>
      <c r="K23" s="74">
        <v>0.2</v>
      </c>
      <c r="L23" s="89">
        <f t="shared" si="4"/>
        <v>0</v>
      </c>
      <c r="M23" s="74"/>
      <c r="N23" s="74">
        <v>0.2</v>
      </c>
      <c r="O23" s="89">
        <f t="shared" si="2"/>
        <v>0</v>
      </c>
      <c r="P23" s="74"/>
      <c r="Q23" s="74"/>
      <c r="R23" s="74"/>
    </row>
    <row r="24" spans="1:18" ht="18" hidden="1">
      <c r="A24" s="9" t="s">
        <v>75</v>
      </c>
      <c r="B24" s="30">
        <v>1090405010</v>
      </c>
      <c r="C24" s="74"/>
      <c r="D24" s="74"/>
      <c r="E24" s="74">
        <f>C24+D24</f>
        <v>0</v>
      </c>
      <c r="F24" s="74"/>
      <c r="G24" s="74"/>
      <c r="H24" s="75">
        <f>G24+M24</f>
        <v>0</v>
      </c>
      <c r="I24" s="89">
        <f t="shared" si="1"/>
        <v>0</v>
      </c>
      <c r="J24" s="89">
        <f t="shared" si="5"/>
        <v>0</v>
      </c>
      <c r="K24" s="74"/>
      <c r="L24" s="89">
        <f t="shared" si="4"/>
        <v>0</v>
      </c>
      <c r="M24" s="74"/>
      <c r="N24" s="74"/>
      <c r="O24" s="89">
        <f t="shared" si="2"/>
        <v>0</v>
      </c>
      <c r="P24" s="74"/>
      <c r="Q24" s="74"/>
      <c r="R24" s="74"/>
    </row>
    <row r="25" spans="1:18" ht="18">
      <c r="A25" s="32" t="s">
        <v>22</v>
      </c>
      <c r="B25" s="32"/>
      <c r="C25" s="78">
        <f aca="true" t="shared" si="10" ref="C25:H25">C26+C29+C33+C32+C31+C30</f>
        <v>464.51</v>
      </c>
      <c r="D25" s="78">
        <f t="shared" si="10"/>
        <v>135.09</v>
      </c>
      <c r="E25" s="78">
        <f t="shared" si="10"/>
        <v>599.6</v>
      </c>
      <c r="F25" s="78">
        <f t="shared" si="10"/>
        <v>0</v>
      </c>
      <c r="G25" s="78">
        <f>G26+G29+G33+G32+G31+G30</f>
        <v>40.2</v>
      </c>
      <c r="H25" s="78">
        <f t="shared" si="10"/>
        <v>140.20000000000002</v>
      </c>
      <c r="I25" s="92">
        <f t="shared" si="1"/>
        <v>0.23382254836557706</v>
      </c>
      <c r="J25" s="92">
        <f t="shared" si="5"/>
        <v>0</v>
      </c>
      <c r="K25" s="78">
        <f>K26+K29+K33+K32+K31+K30</f>
        <v>88.2</v>
      </c>
      <c r="L25" s="92">
        <f t="shared" si="4"/>
        <v>1.5895691609977325</v>
      </c>
      <c r="M25" s="78">
        <f>M26+M29+M33+M32+M31+M30</f>
        <v>100</v>
      </c>
      <c r="N25" s="78">
        <f>N26+N29+N33+N32+N31+N30</f>
        <v>83.6</v>
      </c>
      <c r="O25" s="92">
        <f t="shared" si="2"/>
        <v>1.1961722488038278</v>
      </c>
      <c r="P25" s="78">
        <f>P26+P29+P33+P32+P31</f>
        <v>0</v>
      </c>
      <c r="Q25" s="78">
        <f>Q26+Q29+Q33+Q32+Q31</f>
        <v>0</v>
      </c>
      <c r="R25" s="78">
        <f>R26+R29+R33+R32+R31</f>
        <v>0</v>
      </c>
    </row>
    <row r="26" spans="1:18" ht="17.25" customHeight="1">
      <c r="A26" s="9" t="s">
        <v>76</v>
      </c>
      <c r="B26" s="30">
        <v>1110000000</v>
      </c>
      <c r="C26" s="74">
        <f aca="true" t="shared" si="11" ref="C26:H26">C27+C28</f>
        <v>93</v>
      </c>
      <c r="D26" s="74">
        <f t="shared" si="11"/>
        <v>0</v>
      </c>
      <c r="E26" s="74">
        <f t="shared" si="11"/>
        <v>93</v>
      </c>
      <c r="F26" s="74">
        <f t="shared" si="11"/>
        <v>0</v>
      </c>
      <c r="G26" s="74">
        <f>G27+G28</f>
        <v>7</v>
      </c>
      <c r="H26" s="74">
        <f t="shared" si="11"/>
        <v>15.9</v>
      </c>
      <c r="I26" s="89">
        <f t="shared" si="1"/>
        <v>0.17096774193548386</v>
      </c>
      <c r="J26" s="89">
        <f t="shared" si="5"/>
        <v>0</v>
      </c>
      <c r="K26" s="74">
        <f>K27+K28</f>
        <v>13.3</v>
      </c>
      <c r="L26" s="89">
        <f t="shared" si="4"/>
        <v>1.1954887218045112</v>
      </c>
      <c r="M26" s="74">
        <f>M27+M28</f>
        <v>8.9</v>
      </c>
      <c r="N26" s="74">
        <f>N27+N28</f>
        <v>9</v>
      </c>
      <c r="O26" s="89">
        <f t="shared" si="2"/>
        <v>0.9888888888888889</v>
      </c>
      <c r="P26" s="74">
        <f>P27+P28</f>
        <v>0</v>
      </c>
      <c r="Q26" s="74">
        <f>Q27+Q28</f>
        <v>0</v>
      </c>
      <c r="R26" s="74">
        <f>R27+R28</f>
        <v>0</v>
      </c>
    </row>
    <row r="27" spans="1:18" ht="18.75" customHeight="1" hidden="1">
      <c r="A27" s="13" t="s">
        <v>18</v>
      </c>
      <c r="B27" s="13">
        <v>1110903510</v>
      </c>
      <c r="C27" s="73"/>
      <c r="D27" s="70"/>
      <c r="E27" s="73">
        <f aca="true" t="shared" si="12" ref="E27:E32">C27+D27</f>
        <v>0</v>
      </c>
      <c r="F27" s="73"/>
      <c r="G27" s="73"/>
      <c r="H27" s="70">
        <f aca="true" t="shared" si="13" ref="H27:H32">G27+M27</f>
        <v>0</v>
      </c>
      <c r="I27" s="79">
        <f t="shared" si="1"/>
        <v>0</v>
      </c>
      <c r="J27" s="79">
        <f t="shared" si="5"/>
        <v>0</v>
      </c>
      <c r="K27" s="73"/>
      <c r="L27" s="79">
        <f t="shared" si="4"/>
        <v>0</v>
      </c>
      <c r="M27" s="73"/>
      <c r="N27" s="73"/>
      <c r="O27" s="79">
        <f t="shared" si="2"/>
        <v>0</v>
      </c>
      <c r="P27" s="73"/>
      <c r="Q27" s="73"/>
      <c r="R27" s="73"/>
    </row>
    <row r="28" spans="1:18" ht="18">
      <c r="A28" s="33" t="s">
        <v>23</v>
      </c>
      <c r="B28" s="13">
        <v>1110904510</v>
      </c>
      <c r="C28" s="73">
        <v>93</v>
      </c>
      <c r="D28" s="70"/>
      <c r="E28" s="73">
        <f t="shared" si="12"/>
        <v>93</v>
      </c>
      <c r="F28" s="73"/>
      <c r="G28" s="73">
        <v>7</v>
      </c>
      <c r="H28" s="70">
        <f t="shared" si="13"/>
        <v>15.9</v>
      </c>
      <c r="I28" s="79">
        <f t="shared" si="1"/>
        <v>0.17096774193548386</v>
      </c>
      <c r="J28" s="79">
        <f t="shared" si="5"/>
        <v>0</v>
      </c>
      <c r="K28" s="73">
        <v>13.3</v>
      </c>
      <c r="L28" s="79">
        <f t="shared" si="4"/>
        <v>1.1954887218045112</v>
      </c>
      <c r="M28" s="73">
        <v>8.9</v>
      </c>
      <c r="N28" s="73">
        <v>9</v>
      </c>
      <c r="O28" s="79">
        <f t="shared" si="2"/>
        <v>0.9888888888888889</v>
      </c>
      <c r="P28" s="73"/>
      <c r="Q28" s="73"/>
      <c r="R28" s="73"/>
    </row>
    <row r="29" spans="1:18" ht="18">
      <c r="A29" s="9" t="s">
        <v>39</v>
      </c>
      <c r="B29" s="30">
        <v>1130299510</v>
      </c>
      <c r="C29" s="74">
        <v>371.51</v>
      </c>
      <c r="D29" s="74">
        <v>75.09</v>
      </c>
      <c r="E29" s="128">
        <f t="shared" si="12"/>
        <v>446.6</v>
      </c>
      <c r="F29" s="74"/>
      <c r="G29" s="74">
        <v>33.2</v>
      </c>
      <c r="H29" s="75">
        <f t="shared" si="13"/>
        <v>64.30000000000001</v>
      </c>
      <c r="I29" s="89">
        <f t="shared" si="1"/>
        <v>0.1439767129422302</v>
      </c>
      <c r="J29" s="89">
        <f t="shared" si="5"/>
        <v>0</v>
      </c>
      <c r="K29" s="74">
        <v>74.7</v>
      </c>
      <c r="L29" s="89">
        <f t="shared" si="4"/>
        <v>0.8607764390896923</v>
      </c>
      <c r="M29" s="74">
        <v>31.1</v>
      </c>
      <c r="N29" s="74">
        <v>74.6</v>
      </c>
      <c r="O29" s="89">
        <f t="shared" si="2"/>
        <v>0.4168900804289545</v>
      </c>
      <c r="P29" s="74"/>
      <c r="Q29" s="74"/>
      <c r="R29" s="74"/>
    </row>
    <row r="30" spans="1:18" ht="18">
      <c r="A30" s="9" t="s">
        <v>77</v>
      </c>
      <c r="B30" s="30">
        <v>1140205310</v>
      </c>
      <c r="C30" s="74"/>
      <c r="D30" s="74"/>
      <c r="E30" s="74">
        <f t="shared" si="12"/>
        <v>0</v>
      </c>
      <c r="F30" s="74"/>
      <c r="G30" s="74"/>
      <c r="H30" s="75">
        <f t="shared" si="13"/>
        <v>0</v>
      </c>
      <c r="I30" s="89">
        <f>IF(E30&gt;0,H30/E30,0)</f>
        <v>0</v>
      </c>
      <c r="J30" s="89">
        <f>IF(F30&gt;0,H30/F30,0)</f>
        <v>0</v>
      </c>
      <c r="K30" s="74"/>
      <c r="L30" s="89">
        <f t="shared" si="4"/>
        <v>0</v>
      </c>
      <c r="M30" s="74"/>
      <c r="N30" s="74"/>
      <c r="O30" s="89">
        <f t="shared" si="2"/>
        <v>0</v>
      </c>
      <c r="P30" s="74"/>
      <c r="Q30" s="74"/>
      <c r="R30" s="74"/>
    </row>
    <row r="31" spans="1:18" ht="18">
      <c r="A31" s="9" t="s">
        <v>78</v>
      </c>
      <c r="B31" s="30">
        <v>1140601410</v>
      </c>
      <c r="C31" s="74"/>
      <c r="D31" s="74"/>
      <c r="E31" s="74">
        <f t="shared" si="12"/>
        <v>0</v>
      </c>
      <c r="F31" s="74"/>
      <c r="G31" s="74"/>
      <c r="H31" s="75">
        <f t="shared" si="13"/>
        <v>0</v>
      </c>
      <c r="I31" s="89">
        <f>IF(E31&gt;0,H31/E31,0)</f>
        <v>0</v>
      </c>
      <c r="J31" s="89">
        <f>IF(F31&gt;0,H31/F31,0)</f>
        <v>0</v>
      </c>
      <c r="K31" s="74"/>
      <c r="L31" s="89">
        <f t="shared" si="4"/>
        <v>0</v>
      </c>
      <c r="M31" s="74"/>
      <c r="N31" s="74"/>
      <c r="O31" s="89">
        <f t="shared" si="2"/>
        <v>0</v>
      </c>
      <c r="P31" s="74"/>
      <c r="Q31" s="74"/>
      <c r="R31" s="74"/>
    </row>
    <row r="32" spans="1:18" ht="18">
      <c r="A32" s="9" t="s">
        <v>81</v>
      </c>
      <c r="B32" s="30">
        <v>1169005010</v>
      </c>
      <c r="C32" s="74"/>
      <c r="D32" s="74">
        <v>60</v>
      </c>
      <c r="E32" s="74">
        <f t="shared" si="12"/>
        <v>60</v>
      </c>
      <c r="F32" s="74"/>
      <c r="G32" s="74"/>
      <c r="H32" s="75">
        <f t="shared" si="13"/>
        <v>60</v>
      </c>
      <c r="I32" s="89">
        <f>IF(E32&gt;0,H32/E32,0)</f>
        <v>1</v>
      </c>
      <c r="J32" s="89">
        <f>IF(F32&gt;0,H32/F32,0)</f>
        <v>0</v>
      </c>
      <c r="K32" s="74"/>
      <c r="L32" s="89">
        <f t="shared" si="4"/>
        <v>0</v>
      </c>
      <c r="M32" s="74">
        <v>60</v>
      </c>
      <c r="N32" s="74"/>
      <c r="O32" s="89">
        <f t="shared" si="2"/>
        <v>0</v>
      </c>
      <c r="P32" s="74"/>
      <c r="Q32" s="74"/>
      <c r="R32" s="74"/>
    </row>
    <row r="33" spans="1:18" ht="18">
      <c r="A33" s="9" t="s">
        <v>71</v>
      </c>
      <c r="B33" s="30">
        <v>1170000000</v>
      </c>
      <c r="C33" s="74">
        <f>SUM(C34:C35)</f>
        <v>0</v>
      </c>
      <c r="D33" s="74">
        <f aca="true" t="shared" si="14" ref="D33:R33">SUM(D34:D35)</f>
        <v>0</v>
      </c>
      <c r="E33" s="74">
        <f t="shared" si="14"/>
        <v>0</v>
      </c>
      <c r="F33" s="74">
        <f t="shared" si="14"/>
        <v>0</v>
      </c>
      <c r="G33" s="74">
        <f>SUM(G34:G35)</f>
        <v>0</v>
      </c>
      <c r="H33" s="74">
        <f t="shared" si="14"/>
        <v>0</v>
      </c>
      <c r="I33" s="89">
        <f>IF(E33&gt;0,H33/E33,0)</f>
        <v>0</v>
      </c>
      <c r="J33" s="89">
        <f>IF(F33&gt;0,H33/F33,0)</f>
        <v>0</v>
      </c>
      <c r="K33" s="74">
        <f>SUM(K34:K35)</f>
        <v>0.2</v>
      </c>
      <c r="L33" s="89">
        <f t="shared" si="4"/>
        <v>0</v>
      </c>
      <c r="M33" s="74">
        <f t="shared" si="14"/>
        <v>0</v>
      </c>
      <c r="N33" s="74">
        <f t="shared" si="14"/>
        <v>0</v>
      </c>
      <c r="O33" s="89">
        <f t="shared" si="2"/>
        <v>0</v>
      </c>
      <c r="P33" s="74">
        <f t="shared" si="14"/>
        <v>0</v>
      </c>
      <c r="Q33" s="74">
        <f>SUM(Q34:Q35)</f>
        <v>0</v>
      </c>
      <c r="R33" s="74">
        <f t="shared" si="14"/>
        <v>0</v>
      </c>
    </row>
    <row r="34" spans="1:18" ht="18">
      <c r="A34" s="13" t="s">
        <v>8</v>
      </c>
      <c r="B34" s="13">
        <v>1170103003</v>
      </c>
      <c r="C34" s="73"/>
      <c r="D34" s="73"/>
      <c r="E34" s="73">
        <f>C34+D34</f>
        <v>0</v>
      </c>
      <c r="F34" s="73"/>
      <c r="G34" s="73"/>
      <c r="H34" s="70">
        <f>G34+M34</f>
        <v>0</v>
      </c>
      <c r="I34" s="79">
        <f t="shared" si="1"/>
        <v>0</v>
      </c>
      <c r="J34" s="79">
        <f t="shared" si="5"/>
        <v>0</v>
      </c>
      <c r="K34" s="73"/>
      <c r="L34" s="79">
        <f t="shared" si="4"/>
        <v>0</v>
      </c>
      <c r="M34" s="73"/>
      <c r="N34" s="73"/>
      <c r="O34" s="79">
        <f aca="true" t="shared" si="15" ref="O34:O40">IF(N34&gt;0,M34/N34,0)</f>
        <v>0</v>
      </c>
      <c r="P34" s="79"/>
      <c r="Q34" s="79"/>
      <c r="R34" s="79"/>
    </row>
    <row r="35" spans="1:18" ht="18">
      <c r="A35" s="13" t="s">
        <v>34</v>
      </c>
      <c r="B35" s="13">
        <v>1170505010</v>
      </c>
      <c r="C35" s="73"/>
      <c r="D35" s="84"/>
      <c r="E35" s="73">
        <f>C35+D35</f>
        <v>0</v>
      </c>
      <c r="F35" s="73"/>
      <c r="G35" s="73"/>
      <c r="H35" s="70">
        <f>G35+M35</f>
        <v>0</v>
      </c>
      <c r="I35" s="79">
        <f>IF(E35&gt;0,H35/E35,0)</f>
        <v>0</v>
      </c>
      <c r="J35" s="79">
        <f>IF(F35&gt;0,H35/F35,0)</f>
        <v>0</v>
      </c>
      <c r="K35" s="73">
        <v>0.2</v>
      </c>
      <c r="L35" s="79">
        <f>IF(K35&gt;0,H35/K35,0)</f>
        <v>0</v>
      </c>
      <c r="M35" s="73"/>
      <c r="N35" s="73"/>
      <c r="O35" s="79">
        <f t="shared" si="15"/>
        <v>0</v>
      </c>
      <c r="P35" s="73"/>
      <c r="Q35" s="73"/>
      <c r="R35" s="73"/>
    </row>
    <row r="36" spans="1:18" ht="18">
      <c r="A36" s="9" t="s">
        <v>6</v>
      </c>
      <c r="B36" s="9">
        <v>1000000000</v>
      </c>
      <c r="C36" s="80">
        <f aca="true" t="shared" si="16" ref="C36:H36">C5+C25</f>
        <v>1303.11</v>
      </c>
      <c r="D36" s="80">
        <f t="shared" si="16"/>
        <v>335.09000000000003</v>
      </c>
      <c r="E36" s="80">
        <f t="shared" si="16"/>
        <v>1638.1999999999998</v>
      </c>
      <c r="F36" s="81">
        <f t="shared" si="16"/>
        <v>0</v>
      </c>
      <c r="G36" s="81">
        <f>G5+G25</f>
        <v>148.7</v>
      </c>
      <c r="H36" s="81">
        <f t="shared" si="16"/>
        <v>341.5</v>
      </c>
      <c r="I36" s="93">
        <f t="shared" si="1"/>
        <v>0.20846050543279213</v>
      </c>
      <c r="J36" s="93">
        <f t="shared" si="5"/>
        <v>0</v>
      </c>
      <c r="K36" s="81">
        <f>K5+K25</f>
        <v>267.4</v>
      </c>
      <c r="L36" s="93">
        <f t="shared" si="4"/>
        <v>1.2771129394166045</v>
      </c>
      <c r="M36" s="81">
        <f>M5+M25</f>
        <v>192.8</v>
      </c>
      <c r="N36" s="81">
        <f>N5+N25</f>
        <v>186.1</v>
      </c>
      <c r="O36" s="93">
        <f t="shared" si="15"/>
        <v>1.0360021493820528</v>
      </c>
      <c r="P36" s="81">
        <f>P5+P25</f>
        <v>69.10000000000001</v>
      </c>
      <c r="Q36" s="81">
        <f>Q5+Q25</f>
        <v>52.900000000000006</v>
      </c>
      <c r="R36" s="81">
        <f>R5+R25</f>
        <v>52</v>
      </c>
    </row>
    <row r="37" spans="1:18" ht="18">
      <c r="A37" s="9" t="s">
        <v>94</v>
      </c>
      <c r="B37" s="9"/>
      <c r="C37" s="81">
        <f aca="true" t="shared" si="17" ref="C37:H37">C36-C11</f>
        <v>746.81</v>
      </c>
      <c r="D37" s="90">
        <f t="shared" si="17"/>
        <v>335.09000000000003</v>
      </c>
      <c r="E37" s="81">
        <f t="shared" si="17"/>
        <v>1081.8999999999999</v>
      </c>
      <c r="F37" s="81">
        <f t="shared" si="17"/>
        <v>0</v>
      </c>
      <c r="G37" s="81">
        <f>G36-G11</f>
        <v>86.6</v>
      </c>
      <c r="H37" s="81">
        <f t="shared" si="17"/>
        <v>208.50000000000003</v>
      </c>
      <c r="I37" s="93">
        <f>IF(E37&gt;0,H37/E37,0)</f>
        <v>0.1927165172381921</v>
      </c>
      <c r="J37" s="93">
        <f>IF(F37&gt;0,H37/F37,0)</f>
        <v>0</v>
      </c>
      <c r="K37" s="81">
        <f>K36-K11</f>
        <v>137.6</v>
      </c>
      <c r="L37" s="93">
        <f t="shared" si="4"/>
        <v>1.515261627906977</v>
      </c>
      <c r="M37" s="81">
        <f>M36-M11</f>
        <v>121.90000000000002</v>
      </c>
      <c r="N37" s="81">
        <f>N36-N11</f>
        <v>104</v>
      </c>
      <c r="O37" s="93">
        <f t="shared" si="15"/>
        <v>1.172115384615385</v>
      </c>
      <c r="P37" s="81"/>
      <c r="Q37" s="81"/>
      <c r="R37" s="81"/>
    </row>
    <row r="38" spans="1:18" ht="18">
      <c r="A38" s="13" t="s">
        <v>37</v>
      </c>
      <c r="B38" s="13">
        <v>2000000000</v>
      </c>
      <c r="C38" s="73">
        <v>2709.124</v>
      </c>
      <c r="D38" s="85"/>
      <c r="E38" s="85">
        <f>C38+D38</f>
        <v>2709.124</v>
      </c>
      <c r="F38" s="73"/>
      <c r="G38" s="73">
        <v>1076.7</v>
      </c>
      <c r="H38" s="70">
        <f>G38+M38</f>
        <v>1257.1000000000001</v>
      </c>
      <c r="I38" s="79">
        <f t="shared" si="1"/>
        <v>0.46402453339160565</v>
      </c>
      <c r="J38" s="79">
        <f t="shared" si="5"/>
        <v>0</v>
      </c>
      <c r="K38" s="73">
        <v>1339.2</v>
      </c>
      <c r="L38" s="79">
        <f t="shared" si="4"/>
        <v>0.938694743130227</v>
      </c>
      <c r="M38" s="73">
        <v>180.4</v>
      </c>
      <c r="N38" s="73">
        <v>1024.6</v>
      </c>
      <c r="O38" s="79">
        <f t="shared" si="15"/>
        <v>0.17606870974038652</v>
      </c>
      <c r="P38" s="73"/>
      <c r="Q38" s="73"/>
      <c r="R38" s="73"/>
    </row>
    <row r="39" spans="1:18" ht="18">
      <c r="A39" s="13" t="s">
        <v>48</v>
      </c>
      <c r="B39" s="34" t="s">
        <v>38</v>
      </c>
      <c r="C39" s="73"/>
      <c r="D39" s="85"/>
      <c r="E39" s="73">
        <f>C39+D39</f>
        <v>0</v>
      </c>
      <c r="F39" s="73"/>
      <c r="G39" s="73"/>
      <c r="H39" s="70">
        <f>G39+M39</f>
        <v>40</v>
      </c>
      <c r="I39" s="79">
        <f>IF(E39&gt;0,H39/E39,0)</f>
        <v>0</v>
      </c>
      <c r="J39" s="79">
        <f>IF(F39&gt;0,H39/F39,0)</f>
        <v>0</v>
      </c>
      <c r="K39" s="73">
        <v>195.5</v>
      </c>
      <c r="L39" s="79">
        <f t="shared" si="4"/>
        <v>0.20460358056265984</v>
      </c>
      <c r="M39" s="73">
        <v>40</v>
      </c>
      <c r="N39" s="73">
        <v>195.5</v>
      </c>
      <c r="O39" s="79">
        <f t="shared" si="15"/>
        <v>0.20460358056265984</v>
      </c>
      <c r="P39" s="73"/>
      <c r="Q39" s="73"/>
      <c r="R39" s="73"/>
    </row>
    <row r="40" spans="1:18" ht="18">
      <c r="A40" s="9" t="s">
        <v>2</v>
      </c>
      <c r="B40" s="9">
        <v>0</v>
      </c>
      <c r="C40" s="80">
        <f aca="true" t="shared" si="18" ref="C40:H40">C36+C38+C39</f>
        <v>4012.2339999999995</v>
      </c>
      <c r="D40" s="80">
        <f t="shared" si="18"/>
        <v>335.09000000000003</v>
      </c>
      <c r="E40" s="80">
        <f t="shared" si="18"/>
        <v>4347.324</v>
      </c>
      <c r="F40" s="81">
        <f t="shared" si="18"/>
        <v>0</v>
      </c>
      <c r="G40" s="81">
        <f t="shared" si="18"/>
        <v>1225.4</v>
      </c>
      <c r="H40" s="81">
        <f t="shared" si="18"/>
        <v>1638.6000000000001</v>
      </c>
      <c r="I40" s="93">
        <f t="shared" si="1"/>
        <v>0.37692152689792624</v>
      </c>
      <c r="J40" s="93"/>
      <c r="K40" s="81">
        <f>K36+K38+K39</f>
        <v>1802.1</v>
      </c>
      <c r="L40" s="93">
        <f t="shared" si="4"/>
        <v>0.9092725153987017</v>
      </c>
      <c r="M40" s="81">
        <f>M36+M38+M39</f>
        <v>413.20000000000005</v>
      </c>
      <c r="N40" s="81">
        <f>N36+N38+N39</f>
        <v>1406.1999999999998</v>
      </c>
      <c r="O40" s="93">
        <f t="shared" si="15"/>
        <v>0.29384155881098</v>
      </c>
      <c r="P40" s="81">
        <f>P36+P38+P39</f>
        <v>69.10000000000001</v>
      </c>
      <c r="Q40" s="81">
        <f>Q36+Q38+Q39</f>
        <v>52.900000000000006</v>
      </c>
      <c r="R40" s="81">
        <f>R36+R38+R39</f>
        <v>52</v>
      </c>
    </row>
    <row r="41" spans="7:9" ht="18" customHeight="1">
      <c r="G41" s="5"/>
      <c r="I41" s="161"/>
    </row>
    <row r="42" ht="12.75">
      <c r="G42" s="6"/>
    </row>
  </sheetData>
  <sheetProtection/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pane xSplit="2" ySplit="6" topLeftCell="D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R7" sqref="R7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3.125" style="0" customWidth="1"/>
    <col min="5" max="5" width="17.875" style="0" customWidth="1"/>
    <col min="6" max="6" width="11.25390625" style="0" hidden="1" customWidth="1"/>
    <col min="7" max="8" width="13.875" style="0" customWidth="1"/>
    <col min="9" max="9" width="12.25390625" style="0" customWidth="1"/>
    <col min="10" max="10" width="11.75390625" style="0" hidden="1" customWidth="1"/>
    <col min="11" max="11" width="12.875" style="0" customWidth="1"/>
    <col min="12" max="12" width="14.375" style="0" customWidth="1"/>
    <col min="13" max="13" width="11.875" style="0" customWidth="1"/>
    <col min="14" max="14" width="12.875" style="0" customWidth="1"/>
    <col min="15" max="15" width="14.00390625" style="0" customWidth="1"/>
    <col min="16" max="16" width="11.375" style="0" customWidth="1"/>
    <col min="17" max="17" width="11.25390625" style="0" customWidth="1"/>
    <col min="18" max="18" width="11.75390625" style="0" customWidth="1"/>
  </cols>
  <sheetData>
    <row r="1" spans="1:18" ht="21" customHeight="1">
      <c r="A1" s="176" t="s">
        <v>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6.5" customHeight="1">
      <c r="A2" s="177" t="s">
        <v>130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5.75" customHeight="1">
      <c r="A3" s="179" t="s">
        <v>3</v>
      </c>
      <c r="B3" s="179" t="s">
        <v>4</v>
      </c>
      <c r="C3" s="178" t="s">
        <v>114</v>
      </c>
      <c r="D3" s="178" t="s">
        <v>24</v>
      </c>
      <c r="E3" s="178" t="s">
        <v>115</v>
      </c>
      <c r="F3" s="178" t="s">
        <v>101</v>
      </c>
      <c r="G3" s="178" t="s">
        <v>118</v>
      </c>
      <c r="H3" s="178" t="s">
        <v>116</v>
      </c>
      <c r="I3" s="178"/>
      <c r="J3" s="178"/>
      <c r="K3" s="178" t="s">
        <v>108</v>
      </c>
      <c r="L3" s="178"/>
      <c r="M3" s="178" t="s">
        <v>121</v>
      </c>
      <c r="N3" s="178" t="s">
        <v>122</v>
      </c>
      <c r="O3" s="178" t="s">
        <v>30</v>
      </c>
      <c r="P3" s="178" t="s">
        <v>9</v>
      </c>
      <c r="Q3" s="178"/>
      <c r="R3" s="178"/>
    </row>
    <row r="4" spans="1:18" ht="99" customHeight="1">
      <c r="A4" s="180"/>
      <c r="B4" s="180"/>
      <c r="C4" s="178"/>
      <c r="D4" s="178"/>
      <c r="E4" s="178"/>
      <c r="F4" s="178"/>
      <c r="G4" s="178"/>
      <c r="H4" s="129" t="s">
        <v>120</v>
      </c>
      <c r="I4" s="129" t="s">
        <v>10</v>
      </c>
      <c r="J4" s="129" t="s">
        <v>29</v>
      </c>
      <c r="K4" s="129" t="s">
        <v>120</v>
      </c>
      <c r="L4" s="129" t="s">
        <v>30</v>
      </c>
      <c r="M4" s="178"/>
      <c r="N4" s="178"/>
      <c r="O4" s="178"/>
      <c r="P4" s="127" t="s">
        <v>117</v>
      </c>
      <c r="Q4" s="127" t="s">
        <v>119</v>
      </c>
      <c r="R4" s="127" t="s">
        <v>123</v>
      </c>
    </row>
    <row r="5" spans="1:18" ht="18">
      <c r="A5" s="7" t="s">
        <v>21</v>
      </c>
      <c r="B5" s="17"/>
      <c r="C5" s="96">
        <f aca="true" t="shared" si="0" ref="C5:H5">C6+C11+C16+C22+C26+C27</f>
        <v>64391.07999999999</v>
      </c>
      <c r="D5" s="96">
        <f t="shared" si="0"/>
        <v>1257.018</v>
      </c>
      <c r="E5" s="126">
        <f t="shared" si="0"/>
        <v>65648.098</v>
      </c>
      <c r="F5" s="96">
        <f t="shared" si="0"/>
        <v>23524.9</v>
      </c>
      <c r="G5" s="96">
        <f t="shared" si="0"/>
        <v>6771.400000000001</v>
      </c>
      <c r="H5" s="122">
        <f t="shared" si="0"/>
        <v>13772.2</v>
      </c>
      <c r="I5" s="97">
        <f>IF(E5&gt;0,H5/E5,0)</f>
        <v>0.20978825616547186</v>
      </c>
      <c r="J5" s="97">
        <f>IF(F5&gt;0,H5/F5,0)</f>
        <v>0.5854307563475296</v>
      </c>
      <c r="K5" s="96">
        <f>K6+K11+K16+K22+K26+K27</f>
        <v>13049.099999999999</v>
      </c>
      <c r="L5" s="97">
        <f>IF(K5&gt;0,H5/K5,0)</f>
        <v>1.0554137833260533</v>
      </c>
      <c r="M5" s="96">
        <f>M6+M11+M16+M22+M26+M27</f>
        <v>7000.8</v>
      </c>
      <c r="N5" s="96">
        <f>N6+N11+N16+N22+N26+N27</f>
        <v>6814.9</v>
      </c>
      <c r="O5" s="97">
        <f>IF(N5&gt;0,M5/N5,0)</f>
        <v>1.027278463367034</v>
      </c>
      <c r="P5" s="122">
        <f>P6+P11+P16+P22+P26+P27</f>
        <v>2856.8</v>
      </c>
      <c r="Q5" s="96">
        <f>Q6+Q11+Q16+Q22+Q26+Q27</f>
        <v>2200.2</v>
      </c>
      <c r="R5" s="96">
        <f>R6+R11+R16+R22+R26+R27</f>
        <v>2901.3</v>
      </c>
    </row>
    <row r="6" spans="1:18" ht="18">
      <c r="A6" s="9" t="s">
        <v>65</v>
      </c>
      <c r="B6" s="18">
        <v>1010200001</v>
      </c>
      <c r="C6" s="98">
        <f aca="true" t="shared" si="1" ref="C6:H6">C7+C8+C9+C10</f>
        <v>18888.899999999994</v>
      </c>
      <c r="D6" s="160">
        <f t="shared" si="1"/>
        <v>1147.018</v>
      </c>
      <c r="E6" s="160">
        <f t="shared" si="1"/>
        <v>20035.917999999994</v>
      </c>
      <c r="F6" s="98">
        <f t="shared" si="1"/>
        <v>9900.000000000002</v>
      </c>
      <c r="G6" s="98">
        <f t="shared" si="1"/>
        <v>3057.399999999999</v>
      </c>
      <c r="H6" s="98">
        <f t="shared" si="1"/>
        <v>4798.4</v>
      </c>
      <c r="I6" s="99">
        <f aca="true" t="shared" si="2" ref="I6:I51">IF(E6&gt;0,H6/E6,0)</f>
        <v>0.23948990008843124</v>
      </c>
      <c r="J6" s="99">
        <f aca="true" t="shared" si="3" ref="J6:J51">IF(F6&gt;0,H6/F6,0)</f>
        <v>0.48468686868686855</v>
      </c>
      <c r="K6" s="98">
        <f>K7+K8+K9+K10</f>
        <v>4361.7</v>
      </c>
      <c r="L6" s="99">
        <f aca="true" t="shared" si="4" ref="L6:L51">IF(K6&gt;0,H6/K6,0)</f>
        <v>1.1001215122543961</v>
      </c>
      <c r="M6" s="98">
        <f>M7+M8+M9+M10</f>
        <v>1741.0000000000002</v>
      </c>
      <c r="N6" s="98">
        <f>N7+N8+N9+N10</f>
        <v>1704.4999999999995</v>
      </c>
      <c r="O6" s="99">
        <f aca="true" t="shared" si="5" ref="O6:O51">IF(N6&gt;0,M6/N6,0)</f>
        <v>1.0214139043707837</v>
      </c>
      <c r="P6" s="98">
        <f>P7+P8+P9+P10</f>
        <v>107.19999999999999</v>
      </c>
      <c r="Q6" s="98">
        <f>Q7+Q8+Q9+Q10</f>
        <v>90.39999999999999</v>
      </c>
      <c r="R6" s="98">
        <f>R7+R8+R9+R10</f>
        <v>153.60000000000002</v>
      </c>
    </row>
    <row r="7" spans="1:18" ht="18" customHeight="1">
      <c r="A7" s="10" t="s">
        <v>41</v>
      </c>
      <c r="B7" s="13">
        <v>1010201001</v>
      </c>
      <c r="C7" s="100">
        <f>муниц!C6+'Лен '!C7+Высокор!C7+Гост!C7+Новотр!C7+Черн!C7</f>
        <v>18808.599999999995</v>
      </c>
      <c r="D7" s="120">
        <f>муниц!D6+'Лен '!D7+Высокор!D7+Гост!D7+Новотр!D7+Черн!D7</f>
        <v>1147.018</v>
      </c>
      <c r="E7" s="104">
        <f>C7+D7</f>
        <v>19955.617999999995</v>
      </c>
      <c r="F7" s="100">
        <f>муниц!F6+'Лен '!F7+Высокор!F7+Гост!F7+Новотр!F7+Черн!F7</f>
        <v>9824.7</v>
      </c>
      <c r="G7" s="100">
        <f>муниц!G6+'Лен '!G7+Высокор!G7+Гост!G7+Новотр!G7+Черн!G7</f>
        <v>3052.6999999999994</v>
      </c>
      <c r="H7" s="102">
        <f>G7+M7</f>
        <v>4789.299999999999</v>
      </c>
      <c r="I7" s="103">
        <f t="shared" si="2"/>
        <v>0.2399975786267306</v>
      </c>
      <c r="J7" s="103">
        <f t="shared" si="3"/>
        <v>0.4874754445428358</v>
      </c>
      <c r="K7" s="100">
        <f>муниц!K6+'Лен '!K7+Высокор!K7+Гост!K7+Новотр!K7+Черн!K7</f>
        <v>4361.3</v>
      </c>
      <c r="L7" s="103">
        <f t="shared" si="4"/>
        <v>1.0981358769174328</v>
      </c>
      <c r="M7" s="100">
        <f>муниц!M6+'Лен '!M7+Высокор!M7+Гост!M7+Новотр!M7+Черн!M7</f>
        <v>1736.6000000000001</v>
      </c>
      <c r="N7" s="100">
        <f>муниц!N6+'Лен '!N7+Высокор!N7+Гост!N7+Новотр!N7+Черн!N7</f>
        <v>1704.6999999999996</v>
      </c>
      <c r="O7" s="103">
        <f t="shared" si="5"/>
        <v>1.0187129700240514</v>
      </c>
      <c r="P7" s="100">
        <f>муниц!P6+'Лен '!P7+Высокор!P7+Гост!P7+Новотр!P7+Черн!P7</f>
        <v>97.49999999999999</v>
      </c>
      <c r="Q7" s="100">
        <f>муниц!Q6+'Лен '!Q7+Высокор!Q7+Гост!Q7+Новотр!Q7+Черн!Q7</f>
        <v>85.19999999999999</v>
      </c>
      <c r="R7" s="100">
        <f>муниц!R6+'Лен '!R7+Высокор!R7+Гост!R7+Новотр!R7+Черн!R7</f>
        <v>149.40000000000003</v>
      </c>
    </row>
    <row r="8" spans="1:18" ht="18.75" customHeight="1">
      <c r="A8" s="10" t="s">
        <v>42</v>
      </c>
      <c r="B8" s="13">
        <v>1010202001</v>
      </c>
      <c r="C8" s="100">
        <f>муниц!C7+'Лен '!C8+Высокор!C8+Гост!C8+Новотр!C8+Черн!C8</f>
        <v>53.1</v>
      </c>
      <c r="D8" s="100">
        <f>муниц!D7+'Лен '!D8+Высокор!D8+Гост!D8+Новотр!D8+Черн!D8</f>
        <v>0</v>
      </c>
      <c r="E8" s="104">
        <f>C8+D8</f>
        <v>53.1</v>
      </c>
      <c r="F8" s="100">
        <f>муниц!F7+'Лен '!F8+Высокор!F8+Гост!F8+Новотр!F8+Черн!F8</f>
        <v>26.1</v>
      </c>
      <c r="G8" s="100">
        <f>муниц!G7+'Лен '!G8+Высокор!G8+Гост!G8+Новотр!G8+Черн!G8</f>
        <v>0</v>
      </c>
      <c r="H8" s="102">
        <f>G8+M8</f>
        <v>1</v>
      </c>
      <c r="I8" s="103">
        <f t="shared" si="2"/>
        <v>0.018832391713747645</v>
      </c>
      <c r="J8" s="103">
        <f t="shared" si="3"/>
        <v>0.038314176245210725</v>
      </c>
      <c r="K8" s="100">
        <f>муниц!K7+'Лен '!K8+Высокор!K8+Гост!K8+Новотр!K8+Черн!K8</f>
        <v>0</v>
      </c>
      <c r="L8" s="103">
        <f t="shared" si="4"/>
        <v>0</v>
      </c>
      <c r="M8" s="100">
        <f>муниц!M7+'Лен '!M8+Высокор!M8+Гост!M8+Новотр!M8+Черн!M8</f>
        <v>1</v>
      </c>
      <c r="N8" s="100">
        <f>муниц!N7+'Лен '!N8+Высокор!N8+Гост!N8+Новотр!N8+Черн!N8</f>
        <v>0</v>
      </c>
      <c r="O8" s="103">
        <f t="shared" si="5"/>
        <v>0</v>
      </c>
      <c r="P8" s="100">
        <f>муниц!P7+'Лен '!P8+Высокор!P8+Гост!P8+Новотр!P8+Черн!P8</f>
        <v>5.5</v>
      </c>
      <c r="Q8" s="100">
        <f>муниц!Q7+'Лен '!Q8+Высокор!Q8+Гост!Q8+Новотр!Q8+Черн!Q8</f>
        <v>1</v>
      </c>
      <c r="R8" s="100">
        <f>муниц!R7+'Лен '!R8+Высокор!R8+Гост!R8+Новотр!R8+Черн!R8</f>
        <v>0</v>
      </c>
    </row>
    <row r="9" spans="1:18" ht="17.25" customHeight="1">
      <c r="A9" s="10" t="s">
        <v>43</v>
      </c>
      <c r="B9" s="13">
        <v>1010203001</v>
      </c>
      <c r="C9" s="100">
        <f>муниц!C8+'Лен '!C9+Высокор!C9+Гост!C9+Новотр!C9+Черн!C9</f>
        <v>27.200000000000003</v>
      </c>
      <c r="D9" s="100">
        <f>муниц!D8+'Лен '!D9+Высокор!D9+Гост!D9+Новотр!D9+Черн!D9</f>
        <v>0</v>
      </c>
      <c r="E9" s="104">
        <f>C9+D9</f>
        <v>27.200000000000003</v>
      </c>
      <c r="F9" s="100">
        <f>муниц!F8+'Лен '!F9+Высокор!F9+Гост!F9+Новотр!F9+Черн!F9</f>
        <v>47</v>
      </c>
      <c r="G9" s="100">
        <f>муниц!G8+'Лен '!G9+Высокор!G9+Гост!G9+Новотр!G9+Черн!G9</f>
        <v>4.7</v>
      </c>
      <c r="H9" s="102">
        <f>G9+M9</f>
        <v>8.100000000000001</v>
      </c>
      <c r="I9" s="103">
        <f t="shared" si="2"/>
        <v>0.2977941176470588</v>
      </c>
      <c r="J9" s="103">
        <f t="shared" si="3"/>
        <v>0.17234042553191492</v>
      </c>
      <c r="K9" s="100">
        <f>муниц!K8+'Лен '!K9+Высокор!K9+Гост!K9+Новотр!K9+Черн!K9</f>
        <v>0.4</v>
      </c>
      <c r="L9" s="103">
        <f t="shared" si="4"/>
        <v>20.250000000000004</v>
      </c>
      <c r="M9" s="100">
        <f>муниц!M8+'Лен '!M9+Высокор!M9+Гост!M9+Новотр!M9+Черн!M9</f>
        <v>3.4000000000000004</v>
      </c>
      <c r="N9" s="100">
        <f>муниц!N8+'Лен '!N9+Высокор!N9+Гост!N9+Новотр!N9+Черн!N9</f>
        <v>-0.20000000000000004</v>
      </c>
      <c r="O9" s="103">
        <f t="shared" si="5"/>
        <v>0</v>
      </c>
      <c r="P9" s="100">
        <f>муниц!P8+'Лен '!P9+Высокор!P9+Гост!P9+Новотр!P9+Черн!P9</f>
        <v>4.199999999999999</v>
      </c>
      <c r="Q9" s="100">
        <f>муниц!Q8+'Лен '!Q9+Высокор!Q9+Гост!Q9+Новотр!Q9+Черн!Q9</f>
        <v>4.199999999999999</v>
      </c>
      <c r="R9" s="100">
        <f>муниц!R8+'Лен '!R9+Высокор!R9+Гост!R9+Новотр!R9+Черн!R9</f>
        <v>4.199999999999999</v>
      </c>
    </row>
    <row r="10" spans="1:18" ht="18" hidden="1">
      <c r="A10" s="10" t="s">
        <v>33</v>
      </c>
      <c r="B10" s="13">
        <v>1010204001</v>
      </c>
      <c r="C10" s="100">
        <f>муниц!C9</f>
        <v>0</v>
      </c>
      <c r="D10" s="100">
        <f>муниц!D9+Высокор!D10+Гост!D10+Новотр!D9+Черн!D9</f>
        <v>0</v>
      </c>
      <c r="E10" s="104">
        <f>C10+D10</f>
        <v>0</v>
      </c>
      <c r="F10" s="100">
        <f>муниц!F9</f>
        <v>2.2</v>
      </c>
      <c r="G10" s="100">
        <f>муниц!G9+Гост!G10+Высокор!G10</f>
        <v>0</v>
      </c>
      <c r="H10" s="102">
        <f>G10+M10</f>
        <v>0</v>
      </c>
      <c r="I10" s="103">
        <f t="shared" si="2"/>
        <v>0</v>
      </c>
      <c r="J10" s="103">
        <f t="shared" si="3"/>
        <v>0</v>
      </c>
      <c r="K10" s="100">
        <f>муниц!K9+Гост!K10+Высокор!K10</f>
        <v>0</v>
      </c>
      <c r="L10" s="103">
        <f t="shared" si="4"/>
        <v>0</v>
      </c>
      <c r="M10" s="100">
        <f>муниц!M9+Гост!M10+Высокор!M10</f>
        <v>0</v>
      </c>
      <c r="N10" s="100">
        <f>муниц!N9+Гост!N10+Высокор!N10</f>
        <v>0</v>
      </c>
      <c r="O10" s="103">
        <f t="shared" si="5"/>
        <v>0</v>
      </c>
      <c r="P10" s="100">
        <f>муниц!P9</f>
        <v>0</v>
      </c>
      <c r="Q10" s="100">
        <f>муниц!Q9</f>
        <v>0</v>
      </c>
      <c r="R10" s="100">
        <f>муниц!R9</f>
        <v>0</v>
      </c>
    </row>
    <row r="11" spans="1:18" ht="18" customHeight="1">
      <c r="A11" s="11" t="s">
        <v>50</v>
      </c>
      <c r="B11" s="19">
        <v>1030200001</v>
      </c>
      <c r="C11" s="105">
        <f aca="true" t="shared" si="6" ref="C11:H11">SUM(C12:C15)</f>
        <v>9375.48</v>
      </c>
      <c r="D11" s="105">
        <f t="shared" si="6"/>
        <v>0</v>
      </c>
      <c r="E11" s="105">
        <f t="shared" si="6"/>
        <v>9375.48</v>
      </c>
      <c r="F11" s="105">
        <f t="shared" si="6"/>
        <v>0</v>
      </c>
      <c r="G11" s="105">
        <f t="shared" si="6"/>
        <v>1048.5</v>
      </c>
      <c r="H11" s="105">
        <f t="shared" si="6"/>
        <v>2244.6</v>
      </c>
      <c r="I11" s="99">
        <f t="shared" si="2"/>
        <v>0.2394117421188035</v>
      </c>
      <c r="J11" s="99">
        <f t="shared" si="3"/>
        <v>0</v>
      </c>
      <c r="K11" s="105">
        <f>SUM(K12:K15)</f>
        <v>2194.4000000000005</v>
      </c>
      <c r="L11" s="99">
        <f t="shared" si="4"/>
        <v>1.0228764126868388</v>
      </c>
      <c r="M11" s="105">
        <f>SUM(M12:M15)</f>
        <v>1196.1</v>
      </c>
      <c r="N11" s="105">
        <f>SUM(N12:N15)</f>
        <v>1387</v>
      </c>
      <c r="O11" s="99">
        <f t="shared" si="5"/>
        <v>0.8623648161499639</v>
      </c>
      <c r="P11" s="105">
        <f>SUM(P12:P15)</f>
        <v>0</v>
      </c>
      <c r="Q11" s="105">
        <f>SUM(Q12:Q15)</f>
        <v>0</v>
      </c>
      <c r="R11" s="105">
        <f>SUM(R12:R15)</f>
        <v>0</v>
      </c>
    </row>
    <row r="12" spans="1:18" ht="18">
      <c r="A12" s="12" t="s">
        <v>51</v>
      </c>
      <c r="B12" s="12">
        <v>1030223001</v>
      </c>
      <c r="C12" s="100">
        <f>муниц!C11+'Лен '!C11+Высокор!C12+Гост!C12+Новотр!C12+Черн!C12</f>
        <v>3297.8499999999995</v>
      </c>
      <c r="D12" s="100">
        <f>муниц!D11+'Лен '!D11+Высокор!D12+Гост!D12+Новотр!D12+Черн!D12</f>
        <v>0</v>
      </c>
      <c r="E12" s="104">
        <f>C12+D12</f>
        <v>3297.8499999999995</v>
      </c>
      <c r="F12" s="100">
        <f>муниц!F11+'Лен '!F11+Высокор!F12+Гост!F12+Новотр!F12+Черн!F12</f>
        <v>0</v>
      </c>
      <c r="G12" s="100">
        <f>муниц!G11+'Лен '!G11+Высокор!G12+Гост!G12+Новотр!G12+Черн!G12</f>
        <v>439.3</v>
      </c>
      <c r="H12" s="102">
        <f>G12+M12</f>
        <v>924.7</v>
      </c>
      <c r="I12" s="103">
        <f t="shared" si="2"/>
        <v>0.2803948026744698</v>
      </c>
      <c r="J12" s="103">
        <f t="shared" si="3"/>
        <v>0</v>
      </c>
      <c r="K12" s="100">
        <f>муниц!K11+'Лен '!K11+Высокор!K12+Гост!K12+Новотр!K12+Черн!K12</f>
        <v>816.1</v>
      </c>
      <c r="L12" s="103">
        <f t="shared" si="4"/>
        <v>1.1330719274598702</v>
      </c>
      <c r="M12" s="100">
        <f>муниц!M11+'Лен '!M11+Высокор!M12+Гост!M12+Новотр!M12+Черн!M12</f>
        <v>485.4</v>
      </c>
      <c r="N12" s="100">
        <f>муниц!N11+'Лен '!N11+Высокор!N12+Гост!N12+Новотр!N12+Черн!N12</f>
        <v>529.8</v>
      </c>
      <c r="O12" s="103">
        <f t="shared" si="5"/>
        <v>0.9161947904869763</v>
      </c>
      <c r="P12" s="100">
        <f>муниц!P11+'Лен '!P11+Высокор!P12+Гост!P12+Новотр!P12+Черн!P12</f>
        <v>0</v>
      </c>
      <c r="Q12" s="100">
        <f>муниц!Q11+'Лен '!Q11+Высокор!Q12+Гост!Q12+Новотр!Q12+Черн!Q12</f>
        <v>0</v>
      </c>
      <c r="R12" s="100">
        <f>муниц!R11+'Лен '!R11+Высокор!R12+Гост!R12+Новотр!R12+Черн!R12</f>
        <v>0</v>
      </c>
    </row>
    <row r="13" spans="1:18" ht="18">
      <c r="A13" s="12" t="s">
        <v>52</v>
      </c>
      <c r="B13" s="12">
        <v>1030224001</v>
      </c>
      <c r="C13" s="100">
        <f>муниц!C12+'Лен '!C12+Высокор!C13+Гост!C13+Новотр!C13+Черн!C13</f>
        <v>27.16</v>
      </c>
      <c r="D13" s="100">
        <f>муниц!D12+'Лен '!D12+Высокор!D13+Гост!D13+Новотр!D13+Черн!D13</f>
        <v>0</v>
      </c>
      <c r="E13" s="104">
        <f>C13+D13</f>
        <v>27.16</v>
      </c>
      <c r="F13" s="100">
        <f>муниц!F12+'Лен '!F12+Высокор!F13+Гост!F13+Новотр!F13+Черн!F13</f>
        <v>0</v>
      </c>
      <c r="G13" s="100">
        <f>муниц!G12+'Лен '!G12+Высокор!G13+Гост!G13+Новотр!G13+Черн!G13</f>
        <v>2.1</v>
      </c>
      <c r="H13" s="102">
        <f>G13+M13</f>
        <v>6.200000000000001</v>
      </c>
      <c r="I13" s="103">
        <f t="shared" si="2"/>
        <v>0.2282768777614139</v>
      </c>
      <c r="J13" s="103">
        <f t="shared" si="3"/>
        <v>0</v>
      </c>
      <c r="K13" s="100">
        <f>муниц!K12+'Лен '!K12+Высокор!K13+Гост!K13+Новотр!K13+Черн!K13</f>
        <v>8.2</v>
      </c>
      <c r="L13" s="103">
        <f t="shared" si="4"/>
        <v>0.75609756097561</v>
      </c>
      <c r="M13" s="100">
        <f>муниц!M12+'Лен '!M12+Высокор!M13+Гост!M13+Новотр!M13+Черн!M13</f>
        <v>4.1000000000000005</v>
      </c>
      <c r="N13" s="100">
        <f>муниц!N12+'Лен '!N12+Высокор!N13+Гост!N13+Новотр!N13+Черн!N13</f>
        <v>4.999999999999999</v>
      </c>
      <c r="O13" s="103">
        <f t="shared" si="5"/>
        <v>0.8200000000000003</v>
      </c>
      <c r="P13" s="100">
        <f>муниц!P12+'Лен '!P12+Высокор!P13+Гост!P13+Новотр!P13+Черн!P13</f>
        <v>0</v>
      </c>
      <c r="Q13" s="100">
        <f>муниц!Q12+'Лен '!Q12+Высокор!Q13+Гост!Q13+Новотр!Q13+Черн!Q13</f>
        <v>0</v>
      </c>
      <c r="R13" s="100">
        <f>муниц!R12+'Лен '!R12+Высокор!R13+Гост!R13+Новотр!R13+Черн!R13</f>
        <v>0</v>
      </c>
    </row>
    <row r="14" spans="1:18" ht="18" customHeight="1">
      <c r="A14" s="12" t="s">
        <v>53</v>
      </c>
      <c r="B14" s="12">
        <v>1030225001</v>
      </c>
      <c r="C14" s="100">
        <f>муниц!C13+'Лен '!C13+Высокор!C14+Гост!C14+Новотр!C14+Черн!C14</f>
        <v>6667.56</v>
      </c>
      <c r="D14" s="100">
        <f>муниц!D13+'Лен '!D13+Высокор!D14+Гост!D14+Новотр!D14+Черн!D14</f>
        <v>0</v>
      </c>
      <c r="E14" s="104">
        <f>C14+D14</f>
        <v>6667.56</v>
      </c>
      <c r="F14" s="100">
        <f>муниц!F13+'Лен '!F13+Высокор!F14+Гост!F14+Новотр!F14+Черн!F14</f>
        <v>0</v>
      </c>
      <c r="G14" s="100">
        <f>муниц!G13+'Лен '!G13+Высокор!G14+Гост!G14+Новотр!G14+Черн!G14</f>
        <v>716.6999999999999</v>
      </c>
      <c r="H14" s="102">
        <f>G14+M14</f>
        <v>1506.1999999999998</v>
      </c>
      <c r="I14" s="103">
        <f t="shared" si="2"/>
        <v>0.2258997294362555</v>
      </c>
      <c r="J14" s="103">
        <f t="shared" si="3"/>
        <v>0</v>
      </c>
      <c r="K14" s="100">
        <f>муниц!K13+'Лен '!K13+Высокор!K14+Гост!K14+Новотр!K14+Черн!K14</f>
        <v>1519.8000000000002</v>
      </c>
      <c r="L14" s="103">
        <f t="shared" si="4"/>
        <v>0.9910514541387022</v>
      </c>
      <c r="M14" s="100">
        <f>муниц!M13+'Лен '!M13+Высокор!M14+Гост!M14+Новотр!M14+Черн!M14</f>
        <v>789.5</v>
      </c>
      <c r="N14" s="100">
        <f>муниц!N13+'Лен '!N13+Высокор!N14+Гост!N14+Новотр!N14+Черн!N14</f>
        <v>957.2</v>
      </c>
      <c r="O14" s="103">
        <f t="shared" si="5"/>
        <v>0.8248015043877978</v>
      </c>
      <c r="P14" s="100">
        <f>муниц!P13+'Лен '!P13+Высокор!P14+Гост!P14+Новотр!P14+Черн!P14</f>
        <v>0</v>
      </c>
      <c r="Q14" s="100">
        <f>муниц!Q13+'Лен '!Q13+Высокор!Q14+Гост!Q14+Новотр!Q14+Черн!Q14</f>
        <v>0</v>
      </c>
      <c r="R14" s="100">
        <f>муниц!R13+'Лен '!R13+Высокор!R14+Гост!R14+Новотр!R14+Черн!R14</f>
        <v>0</v>
      </c>
    </row>
    <row r="15" spans="1:18" ht="18">
      <c r="A15" s="12" t="s">
        <v>54</v>
      </c>
      <c r="B15" s="12">
        <v>1030226001</v>
      </c>
      <c r="C15" s="100">
        <f>муниц!C14+'Лен '!C14+Высокор!C15+Гост!C15+Новотр!C15+Черн!C15</f>
        <v>-617.0899999999999</v>
      </c>
      <c r="D15" s="100">
        <f>муниц!D14+'Лен '!D14+Высокор!D15+Гост!D15+Новотр!D15+Черн!D15</f>
        <v>0</v>
      </c>
      <c r="E15" s="104">
        <f>C15+D15</f>
        <v>-617.0899999999999</v>
      </c>
      <c r="F15" s="100">
        <f>муниц!F14+'Лен '!F14+Высокор!F15+Гост!F15+Новотр!F15+Черн!F15</f>
        <v>0</v>
      </c>
      <c r="G15" s="100">
        <f>муниц!G14+'Лен '!G14+Высокор!G15+Гост!G15+Новотр!G15+Черн!G15</f>
        <v>-109.59999999999998</v>
      </c>
      <c r="H15" s="102">
        <f>G15+M15</f>
        <v>-192.5</v>
      </c>
      <c r="I15" s="103">
        <f t="shared" si="2"/>
        <v>0</v>
      </c>
      <c r="J15" s="103">
        <f t="shared" si="3"/>
        <v>0</v>
      </c>
      <c r="K15" s="100">
        <f>муниц!K14+'Лен '!K14+Высокор!K15+Гост!K15+Новотр!K15+Черн!K15</f>
        <v>-149.70000000000002</v>
      </c>
      <c r="L15" s="103">
        <f t="shared" si="4"/>
        <v>0</v>
      </c>
      <c r="M15" s="100">
        <f>муниц!M14+'Лен '!M14+Высокор!M15+Гост!M15+Новотр!M15+Черн!M15</f>
        <v>-82.9</v>
      </c>
      <c r="N15" s="100">
        <f>муниц!N14+'Лен '!N14+Высокор!N15+Гост!N15+Новотр!N15+Черн!N15</f>
        <v>-104.99999999999999</v>
      </c>
      <c r="O15" s="103">
        <f t="shared" si="5"/>
        <v>0</v>
      </c>
      <c r="P15" s="100">
        <f>муниц!P14+'Лен '!P14+Высокор!P15+Гост!P15+Новотр!P15+Черн!P15</f>
        <v>0</v>
      </c>
      <c r="Q15" s="100">
        <f>муниц!Q14+'Лен '!Q14+Высокор!Q15+Гост!Q15+Новотр!Q15+Черн!Q15</f>
        <v>0</v>
      </c>
      <c r="R15" s="100">
        <f>муниц!R14+'Лен '!R14+Высокор!R15+Гост!R15+Новотр!R15+Черн!R15</f>
        <v>0</v>
      </c>
    </row>
    <row r="16" spans="1:18" ht="18">
      <c r="A16" s="9" t="s">
        <v>84</v>
      </c>
      <c r="B16" s="18">
        <v>1050000000</v>
      </c>
      <c r="C16" s="98">
        <f aca="true" t="shared" si="7" ref="C16:H16">C17+C18+C19+C20+C21</f>
        <v>29537.5</v>
      </c>
      <c r="D16" s="98">
        <f t="shared" si="7"/>
        <v>50</v>
      </c>
      <c r="E16" s="98">
        <f t="shared" si="7"/>
        <v>29587.5</v>
      </c>
      <c r="F16" s="98">
        <f t="shared" si="7"/>
        <v>11352.9</v>
      </c>
      <c r="G16" s="98">
        <f t="shared" si="7"/>
        <v>2381.9000000000005</v>
      </c>
      <c r="H16" s="98">
        <f t="shared" si="7"/>
        <v>5552.2</v>
      </c>
      <c r="I16" s="99">
        <f t="shared" si="2"/>
        <v>0.18765356991972962</v>
      </c>
      <c r="J16" s="99">
        <f t="shared" si="3"/>
        <v>0.4890556597873671</v>
      </c>
      <c r="K16" s="98">
        <f>K17+K18+K19+K20+K21</f>
        <v>5145.7</v>
      </c>
      <c r="L16" s="99">
        <f t="shared" si="4"/>
        <v>1.0789979983287017</v>
      </c>
      <c r="M16" s="98">
        <f>M17+M18+M19+M20+M21</f>
        <v>3170.3</v>
      </c>
      <c r="N16" s="98">
        <f>N17+N18+N19+N20+N21</f>
        <v>2719.6</v>
      </c>
      <c r="O16" s="99">
        <f t="shared" si="5"/>
        <v>1.1657229004265335</v>
      </c>
      <c r="P16" s="98">
        <f>P17+P18+P19+P20+P21</f>
        <v>105.2</v>
      </c>
      <c r="Q16" s="98">
        <f>Q17+Q18+Q19+Q20+Q21</f>
        <v>216.10000000000002</v>
      </c>
      <c r="R16" s="98">
        <f>R17+R18+R19+R20+R21</f>
        <v>874.1</v>
      </c>
    </row>
    <row r="17" spans="1:18" ht="18">
      <c r="A17" s="10" t="s">
        <v>55</v>
      </c>
      <c r="B17" s="28">
        <v>1050101001</v>
      </c>
      <c r="C17" s="100">
        <f>муниц!C16</f>
        <v>17380</v>
      </c>
      <c r="D17" s="100">
        <f>муниц!D16</f>
        <v>0</v>
      </c>
      <c r="E17" s="104">
        <f>C17+D17</f>
        <v>17380</v>
      </c>
      <c r="F17" s="100">
        <f>муниц!F16</f>
        <v>7051</v>
      </c>
      <c r="G17" s="100">
        <f>муниц!G16</f>
        <v>1298.1</v>
      </c>
      <c r="H17" s="102">
        <f>G17+M17</f>
        <v>4007.9</v>
      </c>
      <c r="I17" s="103">
        <f t="shared" si="2"/>
        <v>0.23060414269275029</v>
      </c>
      <c r="J17" s="103">
        <f t="shared" si="3"/>
        <v>0.5684158275421927</v>
      </c>
      <c r="K17" s="100">
        <f>муниц!K16</f>
        <v>2782.2</v>
      </c>
      <c r="L17" s="103">
        <f t="shared" si="4"/>
        <v>1.440550643375746</v>
      </c>
      <c r="M17" s="100">
        <f>муниц!M16</f>
        <v>2709.8</v>
      </c>
      <c r="N17" s="100">
        <f>муниц!N16</f>
        <v>2017</v>
      </c>
      <c r="O17" s="103">
        <f t="shared" si="5"/>
        <v>1.3434804164600893</v>
      </c>
      <c r="P17" s="100">
        <f>муниц!P16</f>
        <v>73.6</v>
      </c>
      <c r="Q17" s="100">
        <f>муниц!Q16</f>
        <v>183.4</v>
      </c>
      <c r="R17" s="100">
        <f>муниц!R16</f>
        <v>777.2</v>
      </c>
    </row>
    <row r="18" spans="1:18" ht="18">
      <c r="A18" s="10" t="s">
        <v>56</v>
      </c>
      <c r="B18" s="28">
        <v>1050102001</v>
      </c>
      <c r="C18" s="100">
        <f>муниц!C17</f>
        <v>6040.7</v>
      </c>
      <c r="D18" s="100">
        <f>муниц!D17</f>
        <v>0</v>
      </c>
      <c r="E18" s="104">
        <f>C18+D18</f>
        <v>6040.7</v>
      </c>
      <c r="F18" s="100">
        <f>муниц!F17</f>
        <v>1509</v>
      </c>
      <c r="G18" s="100">
        <f>муниц!G17</f>
        <v>-182.6</v>
      </c>
      <c r="H18" s="102">
        <f>G18+M18</f>
        <v>149.79999999999998</v>
      </c>
      <c r="I18" s="103">
        <f t="shared" si="2"/>
        <v>0.0247984505107024</v>
      </c>
      <c r="J18" s="103">
        <f t="shared" si="3"/>
        <v>0.09927104042412192</v>
      </c>
      <c r="K18" s="100">
        <f>муниц!K17</f>
        <v>866.2</v>
      </c>
      <c r="L18" s="103">
        <f t="shared" si="4"/>
        <v>0.17293927499422762</v>
      </c>
      <c r="M18" s="100">
        <f>муниц!M17</f>
        <v>332.4</v>
      </c>
      <c r="N18" s="100">
        <f>муниц!N17</f>
        <v>710.6</v>
      </c>
      <c r="O18" s="103">
        <f t="shared" si="5"/>
        <v>0.46777371235575566</v>
      </c>
      <c r="P18" s="100">
        <f>муниц!P17</f>
        <v>1.4</v>
      </c>
      <c r="Q18" s="100">
        <f>муниц!Q17</f>
        <v>1.4</v>
      </c>
      <c r="R18" s="100">
        <f>муниц!R17</f>
        <v>51.3</v>
      </c>
    </row>
    <row r="19" spans="1:18" ht="18">
      <c r="A19" s="13" t="s">
        <v>0</v>
      </c>
      <c r="B19" s="28">
        <v>1050200001</v>
      </c>
      <c r="C19" s="100">
        <f>муниц!C18</f>
        <v>5221.8</v>
      </c>
      <c r="D19" s="100">
        <f>муниц!D18</f>
        <v>0</v>
      </c>
      <c r="E19" s="104">
        <f>C19+D19</f>
        <v>5221.8</v>
      </c>
      <c r="F19" s="100">
        <f>муниц!F18</f>
        <v>2641</v>
      </c>
      <c r="G19" s="100">
        <f>муниц!G18</f>
        <v>1154.3</v>
      </c>
      <c r="H19" s="102">
        <f>G19+M19</f>
        <v>1171.5</v>
      </c>
      <c r="I19" s="103">
        <f t="shared" si="2"/>
        <v>0.22434792600252787</v>
      </c>
      <c r="J19" s="103">
        <f t="shared" si="3"/>
        <v>0.4435819765240439</v>
      </c>
      <c r="K19" s="100">
        <f>муниц!K18</f>
        <v>1224.3</v>
      </c>
      <c r="L19" s="103">
        <f t="shared" si="4"/>
        <v>0.9568733153638814</v>
      </c>
      <c r="M19" s="100">
        <f>муниц!M18</f>
        <v>17.2</v>
      </c>
      <c r="N19" s="100">
        <f>муниц!N18</f>
        <v>-80</v>
      </c>
      <c r="O19" s="103">
        <f t="shared" si="5"/>
        <v>0</v>
      </c>
      <c r="P19" s="100">
        <f>муниц!P18</f>
        <v>30.2</v>
      </c>
      <c r="Q19" s="100">
        <f>муниц!Q18</f>
        <v>31.3</v>
      </c>
      <c r="R19" s="100">
        <f>муниц!R18</f>
        <v>45.6</v>
      </c>
    </row>
    <row r="20" spans="1:18" ht="18">
      <c r="A20" s="13" t="s">
        <v>7</v>
      </c>
      <c r="B20" s="28">
        <v>1050300001</v>
      </c>
      <c r="C20" s="100">
        <f>муниц!C19+'Лен '!C16+Высокор!C17+Гост!C17+Новотр!C17+Черн!C17</f>
        <v>745</v>
      </c>
      <c r="D20" s="100">
        <f>муниц!D19+'Лен '!D16+Высокор!D17+Гост!D17+Новотр!D17+Черн!D17</f>
        <v>50</v>
      </c>
      <c r="E20" s="104">
        <f>C20+D20</f>
        <v>795</v>
      </c>
      <c r="F20" s="100">
        <f>муниц!F19+'Лен '!F16+Высокор!F17+Гост!F17+Новотр!F17+Черн!F17</f>
        <v>63</v>
      </c>
      <c r="G20" s="100">
        <f>муниц!G19+'Лен '!G16+Высокор!G17+Гост!G17+Новотр!G17+Черн!G17</f>
        <v>31.8</v>
      </c>
      <c r="H20" s="102">
        <f>G20+M20</f>
        <v>58.8</v>
      </c>
      <c r="I20" s="103">
        <f t="shared" si="2"/>
        <v>0.0739622641509434</v>
      </c>
      <c r="J20" s="103">
        <f t="shared" si="3"/>
        <v>0.9333333333333332</v>
      </c>
      <c r="K20" s="100">
        <f>муниц!K19+'Лен '!K16+Высокор!K17+Гост!K17+Новотр!K17+Черн!K17</f>
        <v>171.4</v>
      </c>
      <c r="L20" s="103">
        <f t="shared" si="4"/>
        <v>0.34305717619603265</v>
      </c>
      <c r="M20" s="100">
        <f>муниц!M19+'Лен '!M16+Высокор!M17+Гост!M17+Новотр!M17+Черн!M17</f>
        <v>27</v>
      </c>
      <c r="N20" s="100">
        <f>муниц!N19+'Лен '!N16+Высокор!N17+Гост!N17+Новотр!N17+Черн!N17</f>
        <v>43.4</v>
      </c>
      <c r="O20" s="103">
        <f t="shared" si="5"/>
        <v>0.6221198156682027</v>
      </c>
      <c r="P20" s="100">
        <f>муниц!P19+'Лен '!P16+Высокор!P17+Гост!P17+Новотр!P17+Черн!P17</f>
        <v>0</v>
      </c>
      <c r="Q20" s="100">
        <f>муниц!Q19+'Лен '!Q16+Высокор!Q17+Гост!Q17+Новотр!Q17+Черн!Q17</f>
        <v>0</v>
      </c>
      <c r="R20" s="100">
        <f>муниц!R19+'Лен '!R16+Высокор!R17+Гост!R17+Новотр!R17+Черн!R17</f>
        <v>0</v>
      </c>
    </row>
    <row r="21" spans="1:18" ht="18">
      <c r="A21" s="10" t="s">
        <v>98</v>
      </c>
      <c r="B21" s="28">
        <v>1050402002</v>
      </c>
      <c r="C21" s="100">
        <f>муниц!C20</f>
        <v>150</v>
      </c>
      <c r="D21" s="100">
        <f>муниц!D20</f>
        <v>0</v>
      </c>
      <c r="E21" s="104">
        <f>C21+D21</f>
        <v>150</v>
      </c>
      <c r="F21" s="100">
        <f>муниц!F20</f>
        <v>88.9</v>
      </c>
      <c r="G21" s="100">
        <f>муниц!G20</f>
        <v>80.3</v>
      </c>
      <c r="H21" s="102">
        <f>G21+M21</f>
        <v>164.2</v>
      </c>
      <c r="I21" s="103">
        <f t="shared" si="2"/>
        <v>1.0946666666666667</v>
      </c>
      <c r="J21" s="103">
        <f t="shared" si="3"/>
        <v>1.8470191226096735</v>
      </c>
      <c r="K21" s="100">
        <f>муниц!K20</f>
        <v>101.6</v>
      </c>
      <c r="L21" s="103">
        <f t="shared" si="4"/>
        <v>1.6161417322834646</v>
      </c>
      <c r="M21" s="100">
        <f>муниц!M20</f>
        <v>83.9</v>
      </c>
      <c r="N21" s="100">
        <f>муниц!N20</f>
        <v>28.6</v>
      </c>
      <c r="O21" s="103">
        <f t="shared" si="5"/>
        <v>2.9335664335664338</v>
      </c>
      <c r="P21" s="100">
        <f>муниц!P20</f>
        <v>0</v>
      </c>
      <c r="Q21" s="100">
        <f>муниц!Q20</f>
        <v>0</v>
      </c>
      <c r="R21" s="100">
        <f>муниц!R20</f>
        <v>0</v>
      </c>
    </row>
    <row r="22" spans="1:18" ht="18">
      <c r="A22" s="9" t="s">
        <v>82</v>
      </c>
      <c r="B22" s="18">
        <v>1060000000</v>
      </c>
      <c r="C22" s="106">
        <f aca="true" t="shared" si="8" ref="C22:H22">C23+C24+C25</f>
        <v>6168.2</v>
      </c>
      <c r="D22" s="106">
        <f t="shared" si="8"/>
        <v>60</v>
      </c>
      <c r="E22" s="106">
        <f t="shared" si="8"/>
        <v>6228.2</v>
      </c>
      <c r="F22" s="106">
        <f t="shared" si="8"/>
        <v>1983</v>
      </c>
      <c r="G22" s="106">
        <f t="shared" si="8"/>
        <v>212.99999999999997</v>
      </c>
      <c r="H22" s="106">
        <f t="shared" si="8"/>
        <v>1073.7</v>
      </c>
      <c r="I22" s="99">
        <f t="shared" si="2"/>
        <v>0.17239330785780804</v>
      </c>
      <c r="J22" s="99">
        <f t="shared" si="3"/>
        <v>0.5414523449319214</v>
      </c>
      <c r="K22" s="106">
        <f>K23+K24+K25</f>
        <v>1272.9</v>
      </c>
      <c r="L22" s="99">
        <f t="shared" si="4"/>
        <v>0.8435069526278576</v>
      </c>
      <c r="M22" s="106">
        <f>M23+M24+M25</f>
        <v>860.6999999999999</v>
      </c>
      <c r="N22" s="106">
        <f>N23+N24+N25</f>
        <v>979.9000000000001</v>
      </c>
      <c r="O22" s="99">
        <f t="shared" si="5"/>
        <v>0.8783549341769566</v>
      </c>
      <c r="P22" s="98">
        <f>P23+P24+P25</f>
        <v>2644.4</v>
      </c>
      <c r="Q22" s="106">
        <f>Q23+Q24+Q25</f>
        <v>1893.7</v>
      </c>
      <c r="R22" s="106">
        <f>R23+R24+R25</f>
        <v>1873.6000000000001</v>
      </c>
    </row>
    <row r="23" spans="1:18" ht="18">
      <c r="A23" s="13" t="s">
        <v>16</v>
      </c>
      <c r="B23" s="13">
        <v>1060103003</v>
      </c>
      <c r="C23" s="100">
        <f>'Лен '!C21+Высокор!C22+Гост!C22+Новотр!C22+Черн!C22</f>
        <v>809</v>
      </c>
      <c r="D23" s="100">
        <f>'Лен '!D21+Высокор!D22+Гост!D22+Новотр!D22+Черн!D22</f>
        <v>30</v>
      </c>
      <c r="E23" s="104">
        <f>C23+D23</f>
        <v>839</v>
      </c>
      <c r="F23" s="100">
        <f>'Лен '!F21+Высокор!F22+Гост!F22+Новотр!F22+Черн!F22</f>
        <v>0</v>
      </c>
      <c r="G23" s="102">
        <f>'Лен '!G21+Высокор!G22+Гост!G22+Новотр!G22+Черн!G22</f>
        <v>12</v>
      </c>
      <c r="H23" s="102">
        <f>G23+M23</f>
        <v>18.9</v>
      </c>
      <c r="I23" s="103">
        <f>IF(E23&gt;0,H23/E23,0)</f>
        <v>0.022526817640047676</v>
      </c>
      <c r="J23" s="103">
        <f>IF(F23&gt;0,H23/F23,0)</f>
        <v>0</v>
      </c>
      <c r="K23" s="102">
        <f>'Лен '!K21+Высокор!K22+Гост!K22+Новотр!K22+Черн!K22</f>
        <v>45.8</v>
      </c>
      <c r="L23" s="103">
        <f>IF(K23&gt;0,H23/K23,0)</f>
        <v>0.4126637554585153</v>
      </c>
      <c r="M23" s="102">
        <f>'Лен '!M21+Высокор!M22+Гост!M22+Новотр!M22+Черн!M22</f>
        <v>6.8999999999999995</v>
      </c>
      <c r="N23" s="102">
        <f>'Лен '!N21+Высокор!N22+Гост!N22+Новотр!N22+Черн!N22</f>
        <v>6.699999999999999</v>
      </c>
      <c r="O23" s="103">
        <f>IF(N23&gt;0,M23/N23,0)</f>
        <v>1.0298507462686568</v>
      </c>
      <c r="P23" s="102">
        <f>'Лен '!P21+Высокор!P22+Гост!P22+Новотр!P22+Черн!P22</f>
        <v>559.3</v>
      </c>
      <c r="Q23" s="102">
        <f>'Лен '!Q21+Высокор!Q22+Гост!Q22+Новотр!Q22+Черн!Q22</f>
        <v>287.40000000000003</v>
      </c>
      <c r="R23" s="102">
        <f>'Лен '!R21+Высокор!R22+Гост!R22+Новотр!R22+Черн!R22</f>
        <v>284.90000000000003</v>
      </c>
    </row>
    <row r="24" spans="1:18" ht="18">
      <c r="A24" s="13" t="s">
        <v>19</v>
      </c>
      <c r="B24" s="13">
        <v>1060201002</v>
      </c>
      <c r="C24" s="100">
        <f>муниц!C21</f>
        <v>4121.2</v>
      </c>
      <c r="D24" s="100">
        <f>муниц!D21</f>
        <v>0</v>
      </c>
      <c r="E24" s="104">
        <f>C24+D24</f>
        <v>4121.2</v>
      </c>
      <c r="F24" s="100">
        <f>муниц!F21</f>
        <v>1983</v>
      </c>
      <c r="G24" s="100">
        <f>муниц!G21</f>
        <v>3.1</v>
      </c>
      <c r="H24" s="102">
        <f>G24+M24</f>
        <v>835.1</v>
      </c>
      <c r="I24" s="103">
        <f t="shared" si="2"/>
        <v>0.20263515480927888</v>
      </c>
      <c r="J24" s="103">
        <f t="shared" si="3"/>
        <v>0.4211296016137166</v>
      </c>
      <c r="K24" s="100">
        <f>муниц!K21</f>
        <v>949.6</v>
      </c>
      <c r="L24" s="103">
        <f t="shared" si="4"/>
        <v>0.8794229149115417</v>
      </c>
      <c r="M24" s="100">
        <f>муниц!M21</f>
        <v>832</v>
      </c>
      <c r="N24" s="100">
        <f>муниц!N21</f>
        <v>941.1</v>
      </c>
      <c r="O24" s="103">
        <f t="shared" si="5"/>
        <v>0.8840718308362554</v>
      </c>
      <c r="P24" s="100">
        <f>муниц!P21</f>
        <v>173.2</v>
      </c>
      <c r="Q24" s="100">
        <f>муниц!Q21</f>
        <v>168</v>
      </c>
      <c r="R24" s="100">
        <f>муниц!R21</f>
        <v>168.5</v>
      </c>
    </row>
    <row r="25" spans="1:18" ht="18">
      <c r="A25" s="13" t="s">
        <v>15</v>
      </c>
      <c r="B25" s="13">
        <v>1060600000</v>
      </c>
      <c r="C25" s="100">
        <f>'Лен '!C18+Высокор!C19+Гост!C19+Новотр!C19+Черн!C19</f>
        <v>1238</v>
      </c>
      <c r="D25" s="100">
        <f>'Лен '!D18+Высокор!D19+Гост!D19+Новотр!D19+Черн!D19</f>
        <v>30</v>
      </c>
      <c r="E25" s="101">
        <f>C25+D25</f>
        <v>1268</v>
      </c>
      <c r="F25" s="100">
        <f>'Лен '!F18+Высокор!F19+Гост!F19+Новотр!F19+Черн!F19</f>
        <v>0</v>
      </c>
      <c r="G25" s="102">
        <f>'Лен '!G18+Высокор!G19+Гост!G19+Новотр!G19+Черн!G19</f>
        <v>197.89999999999998</v>
      </c>
      <c r="H25" s="102">
        <f>G25+M25</f>
        <v>219.7</v>
      </c>
      <c r="I25" s="103">
        <f t="shared" si="2"/>
        <v>0.17326498422712933</v>
      </c>
      <c r="J25" s="103">
        <f t="shared" si="3"/>
        <v>0</v>
      </c>
      <c r="K25" s="102">
        <f>'Лен '!K18+Высокор!K19+Гост!K19+Новотр!K19+Черн!K19</f>
        <v>277.5</v>
      </c>
      <c r="L25" s="103">
        <f t="shared" si="4"/>
        <v>0.7917117117117116</v>
      </c>
      <c r="M25" s="102">
        <f>'Лен '!M18+Высокор!M19+Гост!M19+Новотр!M19+Черн!M19</f>
        <v>21.8</v>
      </c>
      <c r="N25" s="102">
        <f>'Лен '!N18+Высокор!N19+Гост!N19+Новотр!N19+Черн!N19</f>
        <v>32.1</v>
      </c>
      <c r="O25" s="103">
        <f t="shared" si="5"/>
        <v>0.6791277258566978</v>
      </c>
      <c r="P25" s="102">
        <f>'Лен '!P18+Высокор!P19+Гост!P19+Новотр!P19+Черн!P19</f>
        <v>1911.9</v>
      </c>
      <c r="Q25" s="102">
        <f>'Лен '!Q18+Высокор!Q19+Гост!Q19+Новотр!Q19+Черн!Q19</f>
        <v>1438.3</v>
      </c>
      <c r="R25" s="102">
        <f>'Лен '!R18+Высокор!R19+Гост!R19+Новотр!R19+Черн!R19</f>
        <v>1420.2</v>
      </c>
    </row>
    <row r="26" spans="1:18" ht="18">
      <c r="A26" s="9" t="s">
        <v>85</v>
      </c>
      <c r="B26" s="18">
        <v>1080000000</v>
      </c>
      <c r="C26" s="105">
        <f>муниц!C22+Высокор!C23+Гост!C23+Новотр!C23+Черн!C23</f>
        <v>421</v>
      </c>
      <c r="D26" s="105">
        <f>муниц!D22+Высокор!D23+Гост!D23+Новотр!D23+Черн!D23</f>
        <v>0</v>
      </c>
      <c r="E26" s="107">
        <f>C26+D26</f>
        <v>421</v>
      </c>
      <c r="F26" s="105">
        <f>муниц!F22+Высокор!F23+Гост!F23+Новотр!F23+Черн!F23</f>
        <v>289</v>
      </c>
      <c r="G26" s="105">
        <f>муниц!G22+Высокор!G23+Гост!G23+Новотр!G23+Черн!G23</f>
        <v>70.6</v>
      </c>
      <c r="H26" s="98">
        <f>G26+M26</f>
        <v>103.3</v>
      </c>
      <c r="I26" s="99">
        <f t="shared" si="2"/>
        <v>0.24536817102137767</v>
      </c>
      <c r="J26" s="99">
        <f t="shared" si="3"/>
        <v>0.357439446366782</v>
      </c>
      <c r="K26" s="105">
        <f>муниц!K22+Высокор!K23+Гост!K23+Новотр!K23+Черн!K23</f>
        <v>74.39999999999999</v>
      </c>
      <c r="L26" s="99">
        <f t="shared" si="4"/>
        <v>1.388440860215054</v>
      </c>
      <c r="M26" s="105">
        <f>муниц!M22+Высокор!M23+Гост!M23+Новотр!M23+Черн!M23</f>
        <v>32.7</v>
      </c>
      <c r="N26" s="105">
        <f>муниц!N22+Высокор!N23+Гост!N23+Новотр!N23+Черн!N23</f>
        <v>23.9</v>
      </c>
      <c r="O26" s="99">
        <f t="shared" si="5"/>
        <v>1.368200836820084</v>
      </c>
      <c r="P26" s="108"/>
      <c r="Q26" s="108"/>
      <c r="R26" s="108"/>
    </row>
    <row r="27" spans="1:18" ht="18">
      <c r="A27" s="9" t="s">
        <v>86</v>
      </c>
      <c r="B27" s="18">
        <v>1090000000</v>
      </c>
      <c r="C27" s="105">
        <f>муниц!C23+'Лен '!C22+Высокор!C24+Гост!C24+Новотр!C24+Черн!C24</f>
        <v>0</v>
      </c>
      <c r="D27" s="105">
        <f>муниц!D23+'Лен '!D22+Высокор!D24+Гост!D24+Новотр!D24+Черн!D24</f>
        <v>0</v>
      </c>
      <c r="E27" s="107">
        <f>C27+D27</f>
        <v>0</v>
      </c>
      <c r="F27" s="105">
        <f>муниц!F23+'Лен '!F22+Высокор!F24+Гост!F24+Новотр!F24+Черн!F24</f>
        <v>0</v>
      </c>
      <c r="G27" s="105">
        <f>муниц!G23+'Лен '!G22+Высокор!G24+Гост!G24+Новотр!G24+Черн!G24</f>
        <v>0</v>
      </c>
      <c r="H27" s="98">
        <f>G27+M27</f>
        <v>0</v>
      </c>
      <c r="I27" s="99">
        <f t="shared" si="2"/>
        <v>0</v>
      </c>
      <c r="J27" s="99">
        <f t="shared" si="3"/>
        <v>0</v>
      </c>
      <c r="K27" s="105">
        <f>муниц!K23+'Лен '!K22+Высокор!K24+Гост!K24+Новотр!K24+Черн!K24</f>
        <v>0</v>
      </c>
      <c r="L27" s="99">
        <f t="shared" si="4"/>
        <v>0</v>
      </c>
      <c r="M27" s="105">
        <f>муниц!M23+'Лен '!M22+Высокор!M24+Гост!M24+Новотр!M24+Черн!M24</f>
        <v>0</v>
      </c>
      <c r="N27" s="105">
        <f>муниц!N23+'Лен '!N22+Высокор!N24+Гост!N24+Новотр!N24+Черн!N24</f>
        <v>0</v>
      </c>
      <c r="O27" s="99">
        <f t="shared" si="5"/>
        <v>0</v>
      </c>
      <c r="P27" s="105">
        <f>муниц!P23+'Лен '!P22+Высокор!P24+Гост!P24+Новотр!P24+Черн!P24</f>
        <v>0</v>
      </c>
      <c r="Q27" s="105">
        <f>муниц!Q23+'Лен '!Q22+Высокор!Q24+Гост!Q24+Новотр!Q24+Черн!Q24</f>
        <v>0</v>
      </c>
      <c r="R27" s="105">
        <f>муниц!R23+'Лен '!R22+Высокор!R24+Гост!R24+Новотр!R24+Черн!R24</f>
        <v>0</v>
      </c>
    </row>
    <row r="28" spans="1:18" ht="18">
      <c r="A28" s="14" t="s">
        <v>22</v>
      </c>
      <c r="B28" s="20"/>
      <c r="C28" s="109">
        <f aca="true" t="shared" si="9" ref="C28:H28">C29+C35+C36+C40+C43+C44</f>
        <v>14695.710000000001</v>
      </c>
      <c r="D28" s="110">
        <f t="shared" si="9"/>
        <v>178.268</v>
      </c>
      <c r="E28" s="110">
        <f t="shared" si="9"/>
        <v>14873.978000000001</v>
      </c>
      <c r="F28" s="110">
        <f t="shared" si="9"/>
        <v>7948.7</v>
      </c>
      <c r="G28" s="110">
        <f t="shared" si="9"/>
        <v>6371.8</v>
      </c>
      <c r="H28" s="110">
        <f t="shared" si="9"/>
        <v>7925.400000000001</v>
      </c>
      <c r="I28" s="97">
        <f t="shared" si="2"/>
        <v>0.5328366090093719</v>
      </c>
      <c r="J28" s="97">
        <f t="shared" si="3"/>
        <v>0.9970687030583618</v>
      </c>
      <c r="K28" s="110">
        <f>K29+K35+K36+K40+K43+K44</f>
        <v>4935.2</v>
      </c>
      <c r="L28" s="97">
        <f t="shared" si="4"/>
        <v>1.605892365051062</v>
      </c>
      <c r="M28" s="110">
        <f>M29+M35+M36+M40+M43+M44</f>
        <v>1553.6</v>
      </c>
      <c r="N28" s="110">
        <f>N29+N35+N36+N40+N43+N44</f>
        <v>2067.1</v>
      </c>
      <c r="O28" s="97">
        <f t="shared" si="5"/>
        <v>0.7515843452179382</v>
      </c>
      <c r="P28" s="110">
        <f>P29+P35+P36+P40+P43+P44</f>
        <v>895.9</v>
      </c>
      <c r="Q28" s="110">
        <f>Q29+Q35+Q36+Q40+Q43+Q44</f>
        <v>840.4</v>
      </c>
      <c r="R28" s="110">
        <f>R29+R35+R36+R40+R43+R44</f>
        <v>808.3000000000001</v>
      </c>
    </row>
    <row r="29" spans="1:18" ht="18">
      <c r="A29" s="9" t="s">
        <v>87</v>
      </c>
      <c r="B29" s="18">
        <v>1110000000</v>
      </c>
      <c r="C29" s="105">
        <f aca="true" t="shared" si="10" ref="C29:H29">SUM(C30:C34)</f>
        <v>3729.7999999999997</v>
      </c>
      <c r="D29" s="105">
        <f t="shared" si="10"/>
        <v>3.178</v>
      </c>
      <c r="E29" s="105">
        <f t="shared" si="10"/>
        <v>3732.9779999999996</v>
      </c>
      <c r="F29" s="105">
        <f t="shared" si="10"/>
        <v>2087.3</v>
      </c>
      <c r="G29" s="105">
        <f t="shared" si="10"/>
        <v>283.8</v>
      </c>
      <c r="H29" s="105">
        <f t="shared" si="10"/>
        <v>564.5999999999999</v>
      </c>
      <c r="I29" s="99">
        <f t="shared" si="2"/>
        <v>0.1512465382865905</v>
      </c>
      <c r="J29" s="99">
        <f t="shared" si="3"/>
        <v>0.2704929813634839</v>
      </c>
      <c r="K29" s="105">
        <f>SUM(K30:K34)</f>
        <v>1046.1000000000001</v>
      </c>
      <c r="L29" s="99">
        <f t="shared" si="4"/>
        <v>0.5397189561227415</v>
      </c>
      <c r="M29" s="105">
        <f>SUM(M30:M34)</f>
        <v>280.8</v>
      </c>
      <c r="N29" s="105">
        <f>SUM(N30:N34)</f>
        <v>393.5</v>
      </c>
      <c r="O29" s="99">
        <f t="shared" si="5"/>
        <v>0.7135959339263025</v>
      </c>
      <c r="P29" s="105">
        <f>SUM(P30:P34)</f>
        <v>895.9</v>
      </c>
      <c r="Q29" s="105">
        <f>SUM(Q30:Q34)</f>
        <v>840.4</v>
      </c>
      <c r="R29" s="105">
        <f>SUM(R30:R34)</f>
        <v>808.3000000000001</v>
      </c>
    </row>
    <row r="30" spans="1:18" ht="18">
      <c r="A30" s="13" t="s">
        <v>20</v>
      </c>
      <c r="B30" s="13">
        <v>1110105005</v>
      </c>
      <c r="C30" s="100">
        <f>муниц!C26</f>
        <v>0</v>
      </c>
      <c r="D30" s="100">
        <f>муниц!D26</f>
        <v>0</v>
      </c>
      <c r="E30" s="104">
        <f aca="true" t="shared" si="11" ref="E30:E43">C30+D30</f>
        <v>0</v>
      </c>
      <c r="F30" s="100">
        <f>муниц!F26</f>
        <v>0</v>
      </c>
      <c r="G30" s="100">
        <f>муниц!G26</f>
        <v>0</v>
      </c>
      <c r="H30" s="102">
        <f aca="true" t="shared" si="12" ref="H30:H35">G30+M30</f>
        <v>0</v>
      </c>
      <c r="I30" s="103">
        <f t="shared" si="2"/>
        <v>0</v>
      </c>
      <c r="J30" s="103">
        <f t="shared" si="3"/>
        <v>0</v>
      </c>
      <c r="K30" s="100">
        <f>муниц!K26</f>
        <v>0</v>
      </c>
      <c r="L30" s="103">
        <f t="shared" si="4"/>
        <v>0</v>
      </c>
      <c r="M30" s="100">
        <f>муниц!M26</f>
        <v>0</v>
      </c>
      <c r="N30" s="100">
        <f>муниц!N26</f>
        <v>0</v>
      </c>
      <c r="O30" s="103">
        <f t="shared" si="5"/>
        <v>0</v>
      </c>
      <c r="P30" s="100"/>
      <c r="Q30" s="100"/>
      <c r="R30" s="100"/>
    </row>
    <row r="31" spans="1:18" ht="18">
      <c r="A31" s="13" t="s">
        <v>1</v>
      </c>
      <c r="B31" s="13">
        <v>1110501013</v>
      </c>
      <c r="C31" s="100">
        <f>муниц!C27+муниц!C28+'Лен '!C25+Высокор!C27+Гост!C27+Новотр!C27+Черн!C27+'Лен '!C26</f>
        <v>2102.2</v>
      </c>
      <c r="D31" s="100">
        <f>муниц!D27+муниц!D28+'Лен '!D25+Высокор!D27+Гост!D27+Новотр!D27+Черн!D27+'Лен '!D26</f>
        <v>0</v>
      </c>
      <c r="E31" s="104">
        <f t="shared" si="11"/>
        <v>2102.2</v>
      </c>
      <c r="F31" s="100">
        <f>муниц!F27+муниц!F28+'Лен '!F25+Высокор!F27+Гост!F27+Новотр!F27+Черн!F27</f>
        <v>900</v>
      </c>
      <c r="G31" s="100">
        <f>муниц!G27+муниц!G28+'Лен '!G25+'Лен '!G26+Высокор!G27+Гост!G27+Новотр!G27+Черн!G27</f>
        <v>106.5</v>
      </c>
      <c r="H31" s="102">
        <f t="shared" si="12"/>
        <v>148.9</v>
      </c>
      <c r="I31" s="103">
        <f t="shared" si="2"/>
        <v>0.07083055846256303</v>
      </c>
      <c r="J31" s="103">
        <f t="shared" si="3"/>
        <v>0.16544444444444445</v>
      </c>
      <c r="K31" s="100">
        <f>муниц!K27+муниц!K28+'Лен '!K25+Высокор!K27+Гост!K27+Новотр!K27+Черн!K27+'Лен '!K26</f>
        <v>505.8</v>
      </c>
      <c r="L31" s="103">
        <f t="shared" si="4"/>
        <v>0.2943851324634243</v>
      </c>
      <c r="M31" s="100">
        <f>муниц!M27+муниц!M28+'Лен '!M25+Высокор!M27+Гост!M27+Новотр!M27+Черн!M27+'Лен '!M26</f>
        <v>42.400000000000006</v>
      </c>
      <c r="N31" s="100">
        <f>муниц!N27+муниц!N28+'Лен '!N25+Высокор!N27+Гост!N27+Новотр!N27+Черн!N27+'Лен '!N26</f>
        <v>140.70000000000002</v>
      </c>
      <c r="O31" s="103">
        <f t="shared" si="5"/>
        <v>0.3013503909026297</v>
      </c>
      <c r="P31" s="100">
        <f>муниц!P27+муниц!P28+'Лен '!P25+Высокор!P27+Гост!P27+Новотр!P27+Черн!P27</f>
        <v>893.1999999999999</v>
      </c>
      <c r="Q31" s="100">
        <f>муниц!Q27+муниц!Q28+'Лен '!Q25+Высокор!Q27+Гост!Q27+Новотр!Q27+Черн!Q27</f>
        <v>779</v>
      </c>
      <c r="R31" s="100">
        <f>муниц!R27+муниц!R28+'Лен '!R25+Высокор!R27+Гост!R27+Новотр!R27+Черн!R27</f>
        <v>746.9000000000001</v>
      </c>
    </row>
    <row r="32" spans="1:18" ht="18">
      <c r="A32" s="13" t="s">
        <v>17</v>
      </c>
      <c r="B32" s="13">
        <v>1110503510</v>
      </c>
      <c r="C32" s="100">
        <f>муниц!C29</f>
        <v>725.6</v>
      </c>
      <c r="D32" s="100">
        <f>муниц!D29</f>
        <v>0</v>
      </c>
      <c r="E32" s="104">
        <f t="shared" si="11"/>
        <v>725.6</v>
      </c>
      <c r="F32" s="100">
        <f>муниц!F29</f>
        <v>1187.3</v>
      </c>
      <c r="G32" s="100">
        <f>муниц!G29</f>
        <v>45.8</v>
      </c>
      <c r="H32" s="102">
        <f t="shared" si="12"/>
        <v>208.89999999999998</v>
      </c>
      <c r="I32" s="103">
        <f t="shared" si="2"/>
        <v>0.28789966923925026</v>
      </c>
      <c r="J32" s="103">
        <f t="shared" si="3"/>
        <v>0.1759454223869283</v>
      </c>
      <c r="K32" s="100">
        <f>муниц!K29</f>
        <v>316.9</v>
      </c>
      <c r="L32" s="103">
        <f t="shared" si="4"/>
        <v>0.6591984853266014</v>
      </c>
      <c r="M32" s="100">
        <f>муниц!M29</f>
        <v>163.1</v>
      </c>
      <c r="N32" s="100">
        <f>муниц!N29</f>
        <v>147.7</v>
      </c>
      <c r="O32" s="103">
        <f t="shared" si="5"/>
        <v>1.1042654028436019</v>
      </c>
      <c r="P32" s="100">
        <f>муниц!P29+Новотр!P28</f>
        <v>2.7</v>
      </c>
      <c r="Q32" s="100">
        <f>муниц!Q29</f>
        <v>61.4</v>
      </c>
      <c r="R32" s="100">
        <f>муниц!R29</f>
        <v>61.4</v>
      </c>
    </row>
    <row r="33" spans="1:18" ht="18">
      <c r="A33" s="13" t="s">
        <v>18</v>
      </c>
      <c r="B33" s="13">
        <v>1110903510</v>
      </c>
      <c r="C33" s="100">
        <f>'Лен '!C28+Гост!C28</f>
        <v>0</v>
      </c>
      <c r="D33" s="100">
        <f>'Лен '!D28+Гост!D28</f>
        <v>0</v>
      </c>
      <c r="E33" s="104">
        <f t="shared" si="11"/>
        <v>0</v>
      </c>
      <c r="F33" s="100">
        <f>'Лен '!F28+Гост!F28</f>
        <v>0</v>
      </c>
      <c r="G33" s="100">
        <f>'Лен '!G28+Гост!G28</f>
        <v>0</v>
      </c>
      <c r="H33" s="102">
        <f t="shared" si="12"/>
        <v>0</v>
      </c>
      <c r="I33" s="103">
        <f t="shared" si="2"/>
        <v>0</v>
      </c>
      <c r="J33" s="103">
        <f t="shared" si="3"/>
        <v>0</v>
      </c>
      <c r="K33" s="100">
        <f>'Лен '!K28+Гост!K28</f>
        <v>0</v>
      </c>
      <c r="L33" s="103">
        <f t="shared" si="4"/>
        <v>0</v>
      </c>
      <c r="M33" s="100">
        <f>'Лен '!M28+Гост!M28+Черн!M27</f>
        <v>0</v>
      </c>
      <c r="N33" s="100">
        <f>'Лен '!N28+Гост!N28</f>
        <v>0</v>
      </c>
      <c r="O33" s="103">
        <f t="shared" si="5"/>
        <v>0</v>
      </c>
      <c r="P33" s="111"/>
      <c r="Q33" s="111"/>
      <c r="R33" s="111"/>
    </row>
    <row r="34" spans="1:18" ht="18">
      <c r="A34" s="13" t="s">
        <v>23</v>
      </c>
      <c r="B34" s="13">
        <v>1110904505</v>
      </c>
      <c r="C34" s="100">
        <f>муниц!C30+'Лен '!C27+Высокор!C28+Гост!C29+Новотр!C28+Черн!C28</f>
        <v>902</v>
      </c>
      <c r="D34" s="100">
        <f>муниц!D30+'Лен '!D27+Высокор!D28+Гост!D29+Новотр!D28+Черн!D28</f>
        <v>3.178</v>
      </c>
      <c r="E34" s="104">
        <f t="shared" si="11"/>
        <v>905.178</v>
      </c>
      <c r="F34" s="100">
        <f>муниц!F30+'Лен '!F27+Высокор!F28+Гост!F29+Новотр!F28+Черн!F28</f>
        <v>0</v>
      </c>
      <c r="G34" s="100">
        <f>муниц!G30+'Лен '!G27+Высокор!G28+Гост!G29+Новотр!G28+Черн!G28</f>
        <v>131.5</v>
      </c>
      <c r="H34" s="102">
        <f t="shared" si="12"/>
        <v>206.8</v>
      </c>
      <c r="I34" s="103">
        <f t="shared" si="2"/>
        <v>0.22846335195950412</v>
      </c>
      <c r="J34" s="103">
        <f t="shared" si="3"/>
        <v>0</v>
      </c>
      <c r="K34" s="100">
        <f>муниц!K30+'Лен '!K27+Высокор!K28+Гост!K29+Новотр!K28+Черн!K28</f>
        <v>223.40000000000003</v>
      </c>
      <c r="L34" s="103">
        <f t="shared" si="4"/>
        <v>0.9256938227394806</v>
      </c>
      <c r="M34" s="100">
        <f>муниц!M30+'Лен '!M27+Высокор!M28+Гост!M29+Новотр!M28+Черн!M28</f>
        <v>75.30000000000001</v>
      </c>
      <c r="N34" s="100">
        <f>муниц!N30+'Лен '!N27+Высокор!N28+Гост!N29+Новотр!N28+Черн!N28</f>
        <v>105.1</v>
      </c>
      <c r="O34" s="103">
        <f t="shared" si="5"/>
        <v>0.7164605137963845</v>
      </c>
      <c r="P34" s="111"/>
      <c r="Q34" s="111"/>
      <c r="R34" s="111">
        <f>'Лен '!R27</f>
        <v>0</v>
      </c>
    </row>
    <row r="35" spans="1:18" ht="18">
      <c r="A35" s="9" t="s">
        <v>83</v>
      </c>
      <c r="B35" s="18">
        <v>1120000000</v>
      </c>
      <c r="C35" s="105">
        <f>муниц!C31</f>
        <v>29.9</v>
      </c>
      <c r="D35" s="105">
        <f>муниц!D31</f>
        <v>0</v>
      </c>
      <c r="E35" s="107">
        <f t="shared" si="11"/>
        <v>29.9</v>
      </c>
      <c r="F35" s="105">
        <f>муниц!F31</f>
        <v>75</v>
      </c>
      <c r="G35" s="105">
        <f>муниц!G31</f>
        <v>1.2</v>
      </c>
      <c r="H35" s="98">
        <f t="shared" si="12"/>
        <v>16.5</v>
      </c>
      <c r="I35" s="99">
        <f t="shared" si="2"/>
        <v>0.5518394648829432</v>
      </c>
      <c r="J35" s="99">
        <f t="shared" si="3"/>
        <v>0.22</v>
      </c>
      <c r="K35" s="105">
        <f>муниц!K31</f>
        <v>65.2</v>
      </c>
      <c r="L35" s="99">
        <f t="shared" si="4"/>
        <v>0.25306748466257667</v>
      </c>
      <c r="M35" s="105">
        <f>муниц!M31</f>
        <v>15.3</v>
      </c>
      <c r="N35" s="105">
        <f>муниц!N31</f>
        <v>38.2</v>
      </c>
      <c r="O35" s="99">
        <f t="shared" si="5"/>
        <v>0.4005235602094241</v>
      </c>
      <c r="P35" s="98"/>
      <c r="Q35" s="108"/>
      <c r="R35" s="108"/>
    </row>
    <row r="36" spans="1:18" ht="18">
      <c r="A36" s="9" t="s">
        <v>68</v>
      </c>
      <c r="B36" s="18">
        <v>1130000000</v>
      </c>
      <c r="C36" s="105">
        <f aca="true" t="shared" si="13" ref="C36:H36">SUM(C37:C39)</f>
        <v>10734.41</v>
      </c>
      <c r="D36" s="105">
        <f t="shared" si="13"/>
        <v>115.09</v>
      </c>
      <c r="E36" s="105">
        <f t="shared" si="13"/>
        <v>10849.5</v>
      </c>
      <c r="F36" s="105">
        <f t="shared" si="13"/>
        <v>5703.4</v>
      </c>
      <c r="G36" s="105">
        <f t="shared" si="13"/>
        <v>1844</v>
      </c>
      <c r="H36" s="105">
        <f t="shared" si="13"/>
        <v>2912.8</v>
      </c>
      <c r="I36" s="99">
        <f t="shared" si="2"/>
        <v>0.26847320153002446</v>
      </c>
      <c r="J36" s="99">
        <f t="shared" si="3"/>
        <v>0.5107129080899113</v>
      </c>
      <c r="K36" s="105">
        <f>SUM(K37:K39)</f>
        <v>3694.2</v>
      </c>
      <c r="L36" s="99">
        <f t="shared" si="4"/>
        <v>0.7884792377239999</v>
      </c>
      <c r="M36" s="105">
        <f>SUM(M37:M39)</f>
        <v>1068.8</v>
      </c>
      <c r="N36" s="105">
        <f>SUM(N37:N39)</f>
        <v>1613.1999999999998</v>
      </c>
      <c r="O36" s="99">
        <f t="shared" si="5"/>
        <v>0.6625340937267543</v>
      </c>
      <c r="P36" s="105">
        <f>SUM(P37:P39)</f>
        <v>0</v>
      </c>
      <c r="Q36" s="105">
        <f>SUM(Q37:Q39)</f>
        <v>0</v>
      </c>
      <c r="R36" s="105">
        <f>SUM(R37:R39)</f>
        <v>0</v>
      </c>
    </row>
    <row r="37" spans="1:18" ht="18">
      <c r="A37" s="15" t="s">
        <v>35</v>
      </c>
      <c r="B37" s="22">
        <v>1130199500</v>
      </c>
      <c r="C37" s="112">
        <f>муниц!C33</f>
        <v>8001.3</v>
      </c>
      <c r="D37" s="112">
        <f>муниц!D33</f>
        <v>0</v>
      </c>
      <c r="E37" s="104">
        <f t="shared" si="11"/>
        <v>8001.3</v>
      </c>
      <c r="F37" s="112">
        <f>муниц!F33</f>
        <v>5203.4</v>
      </c>
      <c r="G37" s="112">
        <f>муниц!G33</f>
        <v>1491.9</v>
      </c>
      <c r="H37" s="102">
        <f>G37+M37</f>
        <v>2235.9</v>
      </c>
      <c r="I37" s="103">
        <f>IF(E37&gt;0,H37/E37,0)</f>
        <v>0.2794420906602677</v>
      </c>
      <c r="J37" s="103">
        <f>IF(F37&gt;0,H37/F37,0)</f>
        <v>0.4296998116616059</v>
      </c>
      <c r="K37" s="112">
        <f>муниц!K33</f>
        <v>3074.7</v>
      </c>
      <c r="L37" s="103">
        <f t="shared" si="4"/>
        <v>0.7271928968679872</v>
      </c>
      <c r="M37" s="112">
        <f>муниц!M33</f>
        <v>744</v>
      </c>
      <c r="N37" s="112">
        <f>муниц!N33</f>
        <v>1223.7</v>
      </c>
      <c r="O37" s="103">
        <f t="shared" si="5"/>
        <v>0.6079921549399362</v>
      </c>
      <c r="P37" s="113"/>
      <c r="Q37" s="114"/>
      <c r="R37" s="114"/>
    </row>
    <row r="38" spans="1:18" ht="18">
      <c r="A38" s="15" t="s">
        <v>36</v>
      </c>
      <c r="B38" s="22">
        <v>1130206500</v>
      </c>
      <c r="C38" s="112">
        <f>муниц!C34+'Лен '!C30</f>
        <v>973</v>
      </c>
      <c r="D38" s="112">
        <f>муниц!D34+'Лен '!D30</f>
        <v>0</v>
      </c>
      <c r="E38" s="104">
        <f t="shared" si="11"/>
        <v>973</v>
      </c>
      <c r="F38" s="112">
        <f>муниц!F34</f>
        <v>500</v>
      </c>
      <c r="G38" s="112">
        <f>муниц!G34+'Лен '!G30</f>
        <v>59.6</v>
      </c>
      <c r="H38" s="102">
        <f>G38+M38</f>
        <v>134.6</v>
      </c>
      <c r="I38" s="103">
        <f>IF(E38&gt;0,H38/E38,0)</f>
        <v>0.13833504624871532</v>
      </c>
      <c r="J38" s="103">
        <f>IF(F38&gt;0,H38/F38,0)</f>
        <v>0.2692</v>
      </c>
      <c r="K38" s="112">
        <f>муниц!K34+'Лен '!K30</f>
        <v>152.9</v>
      </c>
      <c r="L38" s="103">
        <f t="shared" si="4"/>
        <v>0.8803139306736428</v>
      </c>
      <c r="M38" s="112">
        <f>муниц!M34+'Лен '!M30</f>
        <v>75</v>
      </c>
      <c r="N38" s="112">
        <f>муниц!N34+'Лен '!N30</f>
        <v>90.1</v>
      </c>
      <c r="O38" s="103">
        <f t="shared" si="5"/>
        <v>0.8324084350721421</v>
      </c>
      <c r="P38" s="113"/>
      <c r="Q38" s="114"/>
      <c r="R38" s="114"/>
    </row>
    <row r="39" spans="1:18" ht="18">
      <c r="A39" s="15" t="s">
        <v>39</v>
      </c>
      <c r="B39" s="22">
        <v>1130299510</v>
      </c>
      <c r="C39" s="112">
        <f>муниц!C35+'Лен '!C31+Высокор!C29+Гост!C30+Новотр!C29+Черн!C29</f>
        <v>1760.11</v>
      </c>
      <c r="D39" s="163">
        <f>муниц!D35+'Лен '!D31+Высокор!D29+Гост!D30+Новотр!D29+Черн!D29</f>
        <v>115.09</v>
      </c>
      <c r="E39" s="104">
        <f t="shared" si="11"/>
        <v>1875.1999999999998</v>
      </c>
      <c r="F39" s="112">
        <f>муниц!F35+'Лен '!F31+Высокор!F29+Гост!F30+Новотр!F29+Черн!F29</f>
        <v>0</v>
      </c>
      <c r="G39" s="112">
        <f>муниц!G35+'Лен '!G31+Высокор!G29+Гост!G30+Новотр!G29+Черн!G29</f>
        <v>292.5</v>
      </c>
      <c r="H39" s="102">
        <f>G39+M39</f>
        <v>542.3</v>
      </c>
      <c r="I39" s="103">
        <f>IF(E39&gt;0,H39/E39,0)</f>
        <v>0.289195819112628</v>
      </c>
      <c r="J39" s="103">
        <f>IF(F39&gt;0,H39/F39,0)</f>
        <v>0</v>
      </c>
      <c r="K39" s="112">
        <f>муниц!K35+'Лен '!K31+Высокор!K29+Гост!K30+Новотр!K29+Черн!K29</f>
        <v>466.59999999999997</v>
      </c>
      <c r="L39" s="103">
        <f t="shared" si="4"/>
        <v>1.162237462494642</v>
      </c>
      <c r="M39" s="112">
        <f>муниц!M35+'Лен '!M31+Высокор!M29+Гост!M30+Новотр!M29+Черн!M29</f>
        <v>249.79999999999998</v>
      </c>
      <c r="N39" s="112">
        <f>муниц!N35+'Лен '!N31+Высокор!N29+Гост!N30+Новотр!N29+Черн!N29</f>
        <v>299.4</v>
      </c>
      <c r="O39" s="103">
        <f t="shared" si="5"/>
        <v>0.8343353373413493</v>
      </c>
      <c r="P39" s="113"/>
      <c r="Q39" s="114"/>
      <c r="R39" s="114"/>
    </row>
    <row r="40" spans="1:18" ht="18">
      <c r="A40" s="9" t="s">
        <v>88</v>
      </c>
      <c r="B40" s="18">
        <v>1140000000</v>
      </c>
      <c r="C40" s="105">
        <f aca="true" t="shared" si="14" ref="C40:H40">SUM(C41:C42)</f>
        <v>25</v>
      </c>
      <c r="D40" s="105">
        <f t="shared" si="14"/>
        <v>0</v>
      </c>
      <c r="E40" s="105">
        <f t="shared" si="14"/>
        <v>25</v>
      </c>
      <c r="F40" s="105">
        <f t="shared" si="14"/>
        <v>0</v>
      </c>
      <c r="G40" s="105">
        <f t="shared" si="14"/>
        <v>130.6</v>
      </c>
      <c r="H40" s="105">
        <f t="shared" si="14"/>
        <v>210.2</v>
      </c>
      <c r="I40" s="99">
        <f t="shared" si="2"/>
        <v>8.408</v>
      </c>
      <c r="J40" s="99">
        <f t="shared" si="3"/>
        <v>0</v>
      </c>
      <c r="K40" s="105">
        <f>SUM(K41:K42)</f>
        <v>5.4</v>
      </c>
      <c r="L40" s="99">
        <f t="shared" si="4"/>
        <v>38.925925925925924</v>
      </c>
      <c r="M40" s="105">
        <f>SUM(M41:M42)</f>
        <v>79.6</v>
      </c>
      <c r="N40" s="105">
        <f>SUM(N41:N42)</f>
        <v>5.4</v>
      </c>
      <c r="O40" s="99">
        <f t="shared" si="5"/>
        <v>14.740740740740739</v>
      </c>
      <c r="P40" s="108"/>
      <c r="Q40" s="108"/>
      <c r="R40" s="108"/>
    </row>
    <row r="41" spans="1:18" ht="18">
      <c r="A41" s="13" t="s">
        <v>31</v>
      </c>
      <c r="B41" s="13">
        <v>1140205200</v>
      </c>
      <c r="C41" s="112">
        <f>муниц!C37+'Лен '!C33+Высокор!C30+Гост!C31+Новотр!C31+Черн!C30</f>
        <v>0</v>
      </c>
      <c r="D41" s="112">
        <f>муниц!D37+'Лен '!D33+Высокор!D30+Гост!D31+Новотр!D31+Черн!D30</f>
        <v>0</v>
      </c>
      <c r="E41" s="104">
        <f t="shared" si="11"/>
        <v>0</v>
      </c>
      <c r="F41" s="112">
        <f>муниц!F37+'Лен '!F33+Высокор!F30+Гост!F31+Новотр!F31+Черн!F30</f>
        <v>0</v>
      </c>
      <c r="G41" s="112">
        <f>муниц!G37+'Лен '!G33+Высокор!G30+Гост!G31+Новотр!G31+Черн!G30</f>
        <v>130</v>
      </c>
      <c r="H41" s="102">
        <f>G41+M41</f>
        <v>168.6</v>
      </c>
      <c r="I41" s="103">
        <f t="shared" si="2"/>
        <v>0</v>
      </c>
      <c r="J41" s="103">
        <f t="shared" si="3"/>
        <v>0</v>
      </c>
      <c r="K41" s="112">
        <f>муниц!K37+'Лен '!K33+Высокор!K30+Гост!K31+Новотр!K31+Черн!K30</f>
        <v>0</v>
      </c>
      <c r="L41" s="103">
        <f t="shared" si="4"/>
        <v>0</v>
      </c>
      <c r="M41" s="112">
        <f>муниц!M37+'Лен '!M33+Высокор!M30+Гост!M31+Новотр!M31+Черн!M30</f>
        <v>38.6</v>
      </c>
      <c r="N41" s="112">
        <f>муниц!N37+'Лен '!N33+Высокор!N30+Гост!N31+Новотр!N31+Черн!N30</f>
        <v>0</v>
      </c>
      <c r="O41" s="103">
        <f t="shared" si="5"/>
        <v>0</v>
      </c>
      <c r="P41" s="114"/>
      <c r="Q41" s="114"/>
      <c r="R41" s="114"/>
    </row>
    <row r="42" spans="1:18" ht="18">
      <c r="A42" s="13" t="s">
        <v>32</v>
      </c>
      <c r="B42" s="13">
        <v>1140600000</v>
      </c>
      <c r="C42" s="112">
        <f>муниц!C38+'Лен '!C34+Высокор!C31+Гост!C32+Новотр!C30+Черн!C31+'Лен '!C35</f>
        <v>25</v>
      </c>
      <c r="D42" s="112">
        <f>муниц!D38+'Лен '!D34+Высокор!D31+Гост!D32+Новотр!D30+Черн!D31+'Лен '!D35</f>
        <v>0</v>
      </c>
      <c r="E42" s="104">
        <f t="shared" si="11"/>
        <v>25</v>
      </c>
      <c r="F42" s="112">
        <f>муниц!F38+'Лен '!F34+Высокор!F31+Гост!F32+Новотр!F30+Черн!F31</f>
        <v>0</v>
      </c>
      <c r="G42" s="112">
        <f>муниц!G38+'Лен '!G34+Высокор!G31+Гост!G32+Новотр!G30+Черн!G31+'Лен '!G35</f>
        <v>0.6</v>
      </c>
      <c r="H42" s="102">
        <f>G42+M42</f>
        <v>41.6</v>
      </c>
      <c r="I42" s="103">
        <f t="shared" si="2"/>
        <v>1.6640000000000001</v>
      </c>
      <c r="J42" s="103">
        <f t="shared" si="3"/>
        <v>0</v>
      </c>
      <c r="K42" s="112">
        <f>муниц!K38+'Лен '!K34+Высокор!K31+Гост!K32+Новотр!K30+Черн!K31+'Лен '!K35</f>
        <v>5.4</v>
      </c>
      <c r="L42" s="103">
        <f t="shared" si="4"/>
        <v>7.703703703703703</v>
      </c>
      <c r="M42" s="112">
        <f>муниц!M38+'Лен '!M34+Высокор!M31+Гост!M32+Новотр!M30+Черн!M31+'Лен '!M35</f>
        <v>41</v>
      </c>
      <c r="N42" s="112">
        <f>муниц!N38+'Лен '!N34+Высокор!N31+Гост!N32+Новотр!N30+Черн!N31+'Лен '!N35</f>
        <v>5.4</v>
      </c>
      <c r="O42" s="103">
        <f t="shared" si="5"/>
        <v>7.592592592592592</v>
      </c>
      <c r="P42" s="114"/>
      <c r="Q42" s="114"/>
      <c r="R42" s="114"/>
    </row>
    <row r="43" spans="1:18" ht="18">
      <c r="A43" s="9" t="s">
        <v>89</v>
      </c>
      <c r="B43" s="18">
        <v>1160000000</v>
      </c>
      <c r="C43" s="105">
        <f>муниц!C39+'Лен '!C36+Высокор!C32+Гост!C33+Новотр!C32+Черн!C32</f>
        <v>176.6</v>
      </c>
      <c r="D43" s="105">
        <f>муниц!D39+'Лен '!D36+Высокор!D32+Гост!D33+Новотр!D32+Черн!D32</f>
        <v>60</v>
      </c>
      <c r="E43" s="107">
        <f t="shared" si="11"/>
        <v>236.6</v>
      </c>
      <c r="F43" s="105">
        <f>муниц!F39+'Лен '!F36+Высокор!F32+Гост!F33+Новотр!F32+Черн!F32</f>
        <v>83</v>
      </c>
      <c r="G43" s="105">
        <f>муниц!G39+'Лен '!G36+Высокор!G32+Гост!G33+Новотр!G32+Черн!G32</f>
        <v>4108</v>
      </c>
      <c r="H43" s="98">
        <f>G43+M43</f>
        <v>4221.1</v>
      </c>
      <c r="I43" s="99">
        <f t="shared" si="2"/>
        <v>17.840659340659343</v>
      </c>
      <c r="J43" s="99">
        <f t="shared" si="3"/>
        <v>50.8566265060241</v>
      </c>
      <c r="K43" s="105">
        <f>муниц!K39+'Лен '!K36+Высокор!K32+Гост!K33+Новотр!K32+Черн!K32</f>
        <v>125.3</v>
      </c>
      <c r="L43" s="99">
        <f t="shared" si="4"/>
        <v>33.6879489225858</v>
      </c>
      <c r="M43" s="105">
        <f>муниц!M39+'Лен '!M36+Высокор!M32+Гост!M33+Новотр!M32+Черн!M32</f>
        <v>113.1</v>
      </c>
      <c r="N43" s="105">
        <f>муниц!N39+'Лен '!N36+Высокор!N32+Гост!N33+Новотр!N32+Черн!N32</f>
        <v>16.8</v>
      </c>
      <c r="O43" s="99">
        <f t="shared" si="5"/>
        <v>6.732142857142857</v>
      </c>
      <c r="P43" s="108"/>
      <c r="Q43" s="108"/>
      <c r="R43" s="108"/>
    </row>
    <row r="44" spans="1:18" ht="18">
      <c r="A44" s="9" t="s">
        <v>90</v>
      </c>
      <c r="B44" s="18">
        <v>1170000000</v>
      </c>
      <c r="C44" s="105">
        <f aca="true" t="shared" si="15" ref="C44:H44">SUM(C45:C46)</f>
        <v>0</v>
      </c>
      <c r="D44" s="105">
        <f t="shared" si="15"/>
        <v>0</v>
      </c>
      <c r="E44" s="105">
        <f t="shared" si="15"/>
        <v>0</v>
      </c>
      <c r="F44" s="105">
        <f t="shared" si="15"/>
        <v>0</v>
      </c>
      <c r="G44" s="105">
        <f t="shared" si="15"/>
        <v>4.2</v>
      </c>
      <c r="H44" s="105">
        <f t="shared" si="15"/>
        <v>0.2</v>
      </c>
      <c r="I44" s="99">
        <f t="shared" si="2"/>
        <v>0</v>
      </c>
      <c r="J44" s="99">
        <f t="shared" si="3"/>
        <v>0</v>
      </c>
      <c r="K44" s="105">
        <f>SUM(K45:K46)</f>
        <v>-1</v>
      </c>
      <c r="L44" s="99">
        <f t="shared" si="4"/>
        <v>0</v>
      </c>
      <c r="M44" s="105">
        <f>SUM(M45:M46)</f>
        <v>-4</v>
      </c>
      <c r="N44" s="105">
        <f>SUM(N45:N46)</f>
        <v>0</v>
      </c>
      <c r="O44" s="99">
        <f t="shared" si="5"/>
        <v>0</v>
      </c>
      <c r="P44" s="105">
        <f>SUM(P45:P46)</f>
        <v>0</v>
      </c>
      <c r="Q44" s="105">
        <f>SUM(Q45:Q46)</f>
        <v>0</v>
      </c>
      <c r="R44" s="105">
        <f>SUM(R45:R46)</f>
        <v>0</v>
      </c>
    </row>
    <row r="45" spans="1:18" ht="18">
      <c r="A45" s="13" t="s">
        <v>8</v>
      </c>
      <c r="B45" s="13">
        <v>1170105005</v>
      </c>
      <c r="C45" s="100"/>
      <c r="D45" s="100"/>
      <c r="E45" s="104">
        <f>C45+D45</f>
        <v>0</v>
      </c>
      <c r="F45" s="100"/>
      <c r="G45" s="100">
        <f>муниц!G41+'Лен '!G38+Высокор!G34+Гост!G35+Новотр!G34+Черн!G34</f>
        <v>4.2</v>
      </c>
      <c r="H45" s="102">
        <f>G45+M45</f>
        <v>0</v>
      </c>
      <c r="I45" s="103">
        <f t="shared" si="2"/>
        <v>0</v>
      </c>
      <c r="J45" s="103">
        <f t="shared" si="3"/>
        <v>0</v>
      </c>
      <c r="K45" s="100">
        <f>муниц!K41+'Лен '!K38+Высокор!K34+Гост!K35+Новотр!K34+Черн!K34</f>
        <v>-1.6</v>
      </c>
      <c r="L45" s="103">
        <f t="shared" si="4"/>
        <v>0</v>
      </c>
      <c r="M45" s="100">
        <f>муниц!M41+'Лен '!M38+Высокор!M34+Гост!M35+Новотр!M34+Черн!M34</f>
        <v>-4.2</v>
      </c>
      <c r="N45" s="100">
        <f>муниц!N41+'Лен '!N38+Высокор!N34+Гост!N35+Новотр!N34+Черн!N34</f>
        <v>0</v>
      </c>
      <c r="O45" s="103">
        <f t="shared" si="5"/>
        <v>0</v>
      </c>
      <c r="P45" s="103"/>
      <c r="Q45" s="111"/>
      <c r="R45" s="111"/>
    </row>
    <row r="46" spans="1:18" ht="18">
      <c r="A46" s="13" t="s">
        <v>14</v>
      </c>
      <c r="B46" s="13">
        <v>1170505005</v>
      </c>
      <c r="C46" s="100">
        <f>муниц!C42+'Лен '!C39+Высокор!C35+Гост!C36+Новотр!C35+Черн!C35</f>
        <v>0</v>
      </c>
      <c r="D46" s="100">
        <f>муниц!D42+'Лен '!D39+Высокор!D35+Гост!D36+Новотр!D35+Черн!D35</f>
        <v>0</v>
      </c>
      <c r="E46" s="104">
        <f>C46+D46</f>
        <v>0</v>
      </c>
      <c r="F46" s="100">
        <f>муниц!F42+'Лен '!F39+Высокор!F35+Гост!F36+Новотр!F35+Черн!F35</f>
        <v>0</v>
      </c>
      <c r="G46" s="100">
        <f>муниц!G42+'Лен '!G39+Высокор!G35+Гост!G36+Новотр!G35+Черн!G35</f>
        <v>0</v>
      </c>
      <c r="H46" s="102">
        <f>G46+M46</f>
        <v>0.2</v>
      </c>
      <c r="I46" s="103">
        <f t="shared" si="2"/>
        <v>0</v>
      </c>
      <c r="J46" s="103">
        <f t="shared" si="3"/>
        <v>0</v>
      </c>
      <c r="K46" s="100">
        <f>муниц!K42+'Лен '!K39+Высокор!K35+Гост!K36+Новотр!K35+Черн!K35</f>
        <v>0.6000000000000001</v>
      </c>
      <c r="L46" s="103">
        <f t="shared" si="4"/>
        <v>0.3333333333333333</v>
      </c>
      <c r="M46" s="100">
        <f>муниц!M42+'Лен '!M39+Высокор!M35+Гост!M36+Новотр!M35+Черн!M35</f>
        <v>0.2</v>
      </c>
      <c r="N46" s="100">
        <f>муниц!N42+'Лен '!N39+Высокор!N35+Гост!N36+Новотр!N35+Черн!N35</f>
        <v>0</v>
      </c>
      <c r="O46" s="103">
        <f t="shared" si="5"/>
        <v>0</v>
      </c>
      <c r="P46" s="100"/>
      <c r="Q46" s="100"/>
      <c r="R46" s="100"/>
    </row>
    <row r="47" spans="1:18" ht="18">
      <c r="A47" s="16" t="s">
        <v>6</v>
      </c>
      <c r="B47" s="23">
        <v>1000000000</v>
      </c>
      <c r="C47" s="115">
        <f aca="true" t="shared" si="16" ref="C47:H47">C5+C28</f>
        <v>79086.79</v>
      </c>
      <c r="D47" s="115">
        <f t="shared" si="16"/>
        <v>1435.286</v>
      </c>
      <c r="E47" s="117">
        <f t="shared" si="16"/>
        <v>80522.076</v>
      </c>
      <c r="F47" s="117">
        <f t="shared" si="16"/>
        <v>31473.600000000002</v>
      </c>
      <c r="G47" s="118">
        <f t="shared" si="16"/>
        <v>13143.2</v>
      </c>
      <c r="H47" s="118">
        <f t="shared" si="16"/>
        <v>21697.600000000002</v>
      </c>
      <c r="I47" s="119">
        <f t="shared" si="2"/>
        <v>0.2694615076739949</v>
      </c>
      <c r="J47" s="119">
        <f t="shared" si="3"/>
        <v>0.6893904732855473</v>
      </c>
      <c r="K47" s="116">
        <f>K5+K28</f>
        <v>17984.3</v>
      </c>
      <c r="L47" s="119">
        <f t="shared" si="4"/>
        <v>1.2064745361231743</v>
      </c>
      <c r="M47" s="118">
        <f>M5+M28</f>
        <v>8554.4</v>
      </c>
      <c r="N47" s="118">
        <f>N5+N28</f>
        <v>8882</v>
      </c>
      <c r="O47" s="119">
        <f t="shared" si="5"/>
        <v>0.9631164152217968</v>
      </c>
      <c r="P47" s="116">
        <f>P5+P28</f>
        <v>3752.7000000000003</v>
      </c>
      <c r="Q47" s="116">
        <f>Q5+Q28</f>
        <v>3040.6</v>
      </c>
      <c r="R47" s="116">
        <f>R5+R28</f>
        <v>3709.6000000000004</v>
      </c>
    </row>
    <row r="48" spans="1:18" ht="18">
      <c r="A48" s="13" t="s">
        <v>37</v>
      </c>
      <c r="B48" s="21">
        <v>2000000000</v>
      </c>
      <c r="C48" s="120">
        <f>муниц!C45</f>
        <v>158603.98</v>
      </c>
      <c r="D48" s="120">
        <f>муниц!D45</f>
        <v>0</v>
      </c>
      <c r="E48" s="121">
        <f>C48+D48</f>
        <v>158603.98</v>
      </c>
      <c r="F48" s="102">
        <f>муниц!F45</f>
        <v>74695.19</v>
      </c>
      <c r="G48" s="102">
        <f>муниц!G45</f>
        <v>29204.7</v>
      </c>
      <c r="H48" s="102">
        <f>G48+M48</f>
        <v>43924.2</v>
      </c>
      <c r="I48" s="103">
        <f t="shared" si="2"/>
        <v>0.27694260888030675</v>
      </c>
      <c r="J48" s="103">
        <f t="shared" si="3"/>
        <v>0.5880458969312481</v>
      </c>
      <c r="K48" s="102">
        <f>муниц!K45</f>
        <v>45283.4</v>
      </c>
      <c r="L48" s="103">
        <f t="shared" si="4"/>
        <v>0.969984585963068</v>
      </c>
      <c r="M48" s="102">
        <f>муниц!M45</f>
        <v>14719.5</v>
      </c>
      <c r="N48" s="102">
        <f>муниц!N45</f>
        <v>19064.8</v>
      </c>
      <c r="O48" s="103">
        <f t="shared" si="5"/>
        <v>0.7720773362427091</v>
      </c>
      <c r="P48" s="111"/>
      <c r="Q48" s="111"/>
      <c r="R48" s="111"/>
    </row>
    <row r="49" spans="1:18" ht="18">
      <c r="A49" s="13" t="s">
        <v>48</v>
      </c>
      <c r="B49" s="24" t="s">
        <v>40</v>
      </c>
      <c r="C49" s="100">
        <f>муниц!C46+'Лен '!C43+Высокор!C39+Гост!C40+Новотр!C39+Черн!C39</f>
        <v>325</v>
      </c>
      <c r="D49" s="100">
        <f>муниц!D46+'Лен '!D43+Высокор!D39+Гост!D40+Новотр!D39+Черн!D39</f>
        <v>960.332</v>
      </c>
      <c r="E49" s="104">
        <f>C49+D49</f>
        <v>1285.3319999999999</v>
      </c>
      <c r="F49" s="100">
        <f>муниц!F46+'Лен '!F43+Высокор!F39+Гост!F40+Новотр!F39+Черн!F39</f>
        <v>0</v>
      </c>
      <c r="G49" s="100">
        <f>муниц!G46+'Лен '!G43+Высокор!G39+Гост!G40+Новотр!G39+Черн!G39</f>
        <v>267.6</v>
      </c>
      <c r="H49" s="102">
        <f>G49+M49</f>
        <v>823.2</v>
      </c>
      <c r="I49" s="103">
        <f>IF(E49&gt;0,H49/E49,0)</f>
        <v>0.6404570959098507</v>
      </c>
      <c r="J49" s="103">
        <f>IF(F49&gt;0,H49/F49,0)</f>
        <v>0</v>
      </c>
      <c r="K49" s="100">
        <f>муниц!K46+'Лен '!K43+Высокор!K39+Гост!K40+Новотр!K39+Черн!K39</f>
        <v>1067</v>
      </c>
      <c r="L49" s="103">
        <f t="shared" si="4"/>
        <v>0.7715089034676664</v>
      </c>
      <c r="M49" s="100">
        <f>муниц!M46+'Лен '!M43+Высокор!M39+Гост!M40+Новотр!M39+Черн!M39</f>
        <v>555.6</v>
      </c>
      <c r="N49" s="100">
        <f>муниц!N46+'Лен '!N43+Высокор!N39+Гост!N40+Новотр!N39+Черн!N39</f>
        <v>1033.5</v>
      </c>
      <c r="O49" s="103">
        <f t="shared" si="5"/>
        <v>0.5375907111756169</v>
      </c>
      <c r="P49" s="111"/>
      <c r="Q49" s="111"/>
      <c r="R49" s="111"/>
    </row>
    <row r="50" spans="1:18" ht="20.25" customHeight="1">
      <c r="A50" s="8" t="s">
        <v>95</v>
      </c>
      <c r="B50" s="130" t="s">
        <v>96</v>
      </c>
      <c r="C50" s="100"/>
      <c r="D50" s="100"/>
      <c r="E50" s="121"/>
      <c r="F50" s="100"/>
      <c r="G50" s="100">
        <f>муниц!G48</f>
        <v>-155.6</v>
      </c>
      <c r="H50" s="102">
        <f>G50+M50</f>
        <v>-212.89999999999998</v>
      </c>
      <c r="I50" s="103"/>
      <c r="J50" s="103"/>
      <c r="K50" s="100">
        <f>муниц!K48</f>
        <v>-750.1</v>
      </c>
      <c r="L50" s="103"/>
      <c r="M50" s="100">
        <f>муниц!M48</f>
        <v>-57.3</v>
      </c>
      <c r="N50" s="100">
        <f>муниц!N48</f>
        <v>-78</v>
      </c>
      <c r="O50" s="103"/>
      <c r="P50" s="111"/>
      <c r="Q50" s="111"/>
      <c r="R50" s="111"/>
    </row>
    <row r="51" spans="1:18" ht="18">
      <c r="A51" s="16" t="s">
        <v>2</v>
      </c>
      <c r="B51" s="25"/>
      <c r="C51" s="115">
        <f>C47+C48+C49</f>
        <v>238015.77000000002</v>
      </c>
      <c r="D51" s="115">
        <f>D47+D48+D49</f>
        <v>2395.618</v>
      </c>
      <c r="E51" s="115">
        <f>E47+E48+E49</f>
        <v>240411.388</v>
      </c>
      <c r="F51" s="116">
        <f>F47+F48+F49</f>
        <v>106168.79000000001</v>
      </c>
      <c r="G51" s="118">
        <f>G47+G48+G49+G50</f>
        <v>42459.9</v>
      </c>
      <c r="H51" s="118">
        <f>H47+H48+H49+H50</f>
        <v>66232.1</v>
      </c>
      <c r="I51" s="119">
        <f t="shared" si="2"/>
        <v>0.27549485301420085</v>
      </c>
      <c r="J51" s="119">
        <f t="shared" si="3"/>
        <v>0.6238377587236325</v>
      </c>
      <c r="K51" s="118">
        <f>K47+K48+K49+K50</f>
        <v>63584.6</v>
      </c>
      <c r="L51" s="119">
        <f t="shared" si="4"/>
        <v>1.0416374405123254</v>
      </c>
      <c r="M51" s="118">
        <f>M47+M48+M49+M50</f>
        <v>23772.2</v>
      </c>
      <c r="N51" s="118">
        <f>N47+N48+N49+N50</f>
        <v>28902.3</v>
      </c>
      <c r="O51" s="119">
        <f t="shared" si="5"/>
        <v>0.8225020154105384</v>
      </c>
      <c r="P51" s="116">
        <f>P47+P48</f>
        <v>3752.7000000000003</v>
      </c>
      <c r="Q51" s="116">
        <f>Q47+Q48</f>
        <v>3040.6</v>
      </c>
      <c r="R51" s="116">
        <f>R47+R48</f>
        <v>3709.6000000000004</v>
      </c>
    </row>
    <row r="52" spans="2:18" ht="15">
      <c r="B52" s="26"/>
      <c r="C52" s="26"/>
      <c r="D52" s="26"/>
      <c r="E52" s="26"/>
      <c r="F52" s="26"/>
      <c r="G52" s="26"/>
      <c r="H52" s="27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2018-04-12T10:45:59Z</cp:lastPrinted>
  <dcterms:created xsi:type="dcterms:W3CDTF">2003-11-05T12:49:21Z</dcterms:created>
  <dcterms:modified xsi:type="dcterms:W3CDTF">2018-04-16T13:41:07Z</dcterms:modified>
  <cp:category/>
  <cp:version/>
  <cp:contentType/>
  <cp:contentStatus/>
</cp:coreProperties>
</file>