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55" activeTab="0"/>
  </bookViews>
  <sheets>
    <sheet name="муниц" sheetId="1" r:id="rId1"/>
    <sheet name="Лен " sheetId="2" r:id="rId2"/>
    <sheet name="Высокор" sheetId="3" r:id="rId3"/>
    <sheet name="Гост" sheetId="4" r:id="rId4"/>
    <sheet name="Новотр" sheetId="5" r:id="rId5"/>
    <sheet name="Черн" sheetId="6" r:id="rId6"/>
    <sheet name="консолид" sheetId="7" r:id="rId7"/>
  </sheets>
  <definedNames>
    <definedName name="_xlnm.Print_Area" localSheetId="6">'консолид'!$A$1:$S$50</definedName>
    <definedName name="_xlnm.Print_Area" localSheetId="0">'муниц'!$A$1:$T$50</definedName>
    <definedName name="_xlnm.Print_Area" localSheetId="5">'Черн'!$A$1:$R$39</definedName>
  </definedNames>
  <calcPr fullCalcOnLoad="1"/>
</workbook>
</file>

<file path=xl/sharedStrings.xml><?xml version="1.0" encoding="utf-8"?>
<sst xmlns="http://schemas.openxmlformats.org/spreadsheetml/2006/main" count="448" uniqueCount="132">
  <si>
    <t xml:space="preserve">  ед.налог на ВД</t>
  </si>
  <si>
    <t xml:space="preserve">  арендная плата за землю</t>
  </si>
  <si>
    <t>ВСЕГО ДОХОДОВ</t>
  </si>
  <si>
    <t>НАИМЕНОВАНИЕ ДОХОДНЫХ ИСТОЧНИКОВ</t>
  </si>
  <si>
    <t>Код бюджетной классификации</t>
  </si>
  <si>
    <t xml:space="preserve">                   СВЕДЕНИЯ</t>
  </si>
  <si>
    <t xml:space="preserve"> ДОХОДЫ</t>
  </si>
  <si>
    <t>единый сельхозналог</t>
  </si>
  <si>
    <t>невыясненные поступления</t>
  </si>
  <si>
    <t>НЕДОИМКА</t>
  </si>
  <si>
    <t>% исполнения к годовому плану</t>
  </si>
  <si>
    <t>С В Е Д Е Н И Я</t>
  </si>
  <si>
    <t>налог на имущество ф.л.</t>
  </si>
  <si>
    <t>Земельный налог всего</t>
  </si>
  <si>
    <t>пр. неналоговые доходы</t>
  </si>
  <si>
    <t>Земельный налог</t>
  </si>
  <si>
    <t xml:space="preserve">.налог на имущество ф.л. </t>
  </si>
  <si>
    <t>аренд пл за имущ.в опер упр</t>
  </si>
  <si>
    <t>доходы от эксплуат автодорог</t>
  </si>
  <si>
    <t>Налог на имущество организаций</t>
  </si>
  <si>
    <t xml:space="preserve">  доходы от акций</t>
  </si>
  <si>
    <t>Налоговые доходы</t>
  </si>
  <si>
    <t>Неналоговые доходы</t>
  </si>
  <si>
    <t xml:space="preserve">проч.поступл. от исп. имущ-ва </t>
  </si>
  <si>
    <t>Поправки</t>
  </si>
  <si>
    <t>Безвозмездные поступления</t>
  </si>
  <si>
    <t xml:space="preserve">Аренд плата за землю </t>
  </si>
  <si>
    <t>доходы от экспл автодорог</t>
  </si>
  <si>
    <t>Наименование доходных источников</t>
  </si>
  <si>
    <t>% исполнения к кассовому плану</t>
  </si>
  <si>
    <t>% исполнения к прошлому году</t>
  </si>
  <si>
    <t>доходы от реализ имущ-ва</t>
  </si>
  <si>
    <t>доходы от продажи зем участк</t>
  </si>
  <si>
    <t>прочие неналоговые доходы</t>
  </si>
  <si>
    <t>доходы от платных услуг</t>
  </si>
  <si>
    <t>доходы связ с экспл имущества</t>
  </si>
  <si>
    <t>Безвозм поступл от бюдж др уровн</t>
  </si>
  <si>
    <t>2070500005</t>
  </si>
  <si>
    <t>Прочие дох от комп затрат</t>
  </si>
  <si>
    <t>2070500000</t>
  </si>
  <si>
    <t>на дох физ лиц налоговых агентов</t>
  </si>
  <si>
    <t>зарегистр в кач-ве инд  предприн</t>
  </si>
  <si>
    <t>физические лица  по ст 228</t>
  </si>
  <si>
    <t>зарег в кач-ве инд  предприн</t>
  </si>
  <si>
    <t>на дох физ лиц налог агентов</t>
  </si>
  <si>
    <t>Доходы от продажи имущест</t>
  </si>
  <si>
    <t>Прочие безвозмездн поступления</t>
  </si>
  <si>
    <t>Прочие безвозмездн поступ</t>
  </si>
  <si>
    <t>Акцизы по подакцизным товарам</t>
  </si>
  <si>
    <t>Акцизы на дизельное топливо</t>
  </si>
  <si>
    <t>Акцизы на моторные масла</t>
  </si>
  <si>
    <t>Акцизы на автомобильный бензин</t>
  </si>
  <si>
    <t>Акцизы на прямогонный бензин</t>
  </si>
  <si>
    <t>УСН (доходы)</t>
  </si>
  <si>
    <t>УСН (доходы минус расходы)</t>
  </si>
  <si>
    <t>Налоги на совокупный доход</t>
  </si>
  <si>
    <t>Задолж.по отмен.налог.и сборам</t>
  </si>
  <si>
    <t xml:space="preserve"> Налог на имущество организ</t>
  </si>
  <si>
    <t>арендная пл за землю до разгр</t>
  </si>
  <si>
    <t>аренда земли после разгр</t>
  </si>
  <si>
    <t xml:space="preserve">  арендная плата за имущ.</t>
  </si>
  <si>
    <t>Доходы от использ имущества</t>
  </si>
  <si>
    <t>прочие доходы от комп затрат</t>
  </si>
  <si>
    <t>Н Д Ф Л</t>
  </si>
  <si>
    <t>ГОСПОШЛИНА</t>
  </si>
  <si>
    <t>Плата за негат воздна окр.</t>
  </si>
  <si>
    <t>Доходы от оказ платн услуг</t>
  </si>
  <si>
    <t>ДОХОДЫ ОТ ПРОД АЖИ</t>
  </si>
  <si>
    <t>.ШТРАФЫ, САНКЦИИ</t>
  </si>
  <si>
    <t>ПРОЧ.НЕНАЛОГ.ДОХОДЫ</t>
  </si>
  <si>
    <t>Налог на СОВОКУП.ДОХОД</t>
  </si>
  <si>
    <t>Налоги на ИМУЩЕСТВО</t>
  </si>
  <si>
    <t xml:space="preserve"> Госпошлина</t>
  </si>
  <si>
    <t>Задолженность по зем налогу</t>
  </si>
  <si>
    <t>ДОХОДЫ ОТ ИСП.ИМУЩ.</t>
  </si>
  <si>
    <t xml:space="preserve"> Доходы от продажи имущества</t>
  </si>
  <si>
    <t xml:space="preserve"> Доходы от продажи зем уч</t>
  </si>
  <si>
    <t xml:space="preserve"> Штрафы,санкции</t>
  </si>
  <si>
    <t>Доходы от продажи зем уч</t>
  </si>
  <si>
    <t xml:space="preserve"> Штрафы, санкции</t>
  </si>
  <si>
    <t>Налоги на имущество</t>
  </si>
  <si>
    <t>Плата за негат.возд.на окр.среду</t>
  </si>
  <si>
    <t>Налоги на совокуп доход</t>
  </si>
  <si>
    <t>Госпошлина</t>
  </si>
  <si>
    <t>Зад.по отмен.налог.и сборам</t>
  </si>
  <si>
    <t>Доходы от использ-я  имущ-ва</t>
  </si>
  <si>
    <t>Доходы от продажи</t>
  </si>
  <si>
    <t>Штрафы, санкции</t>
  </si>
  <si>
    <t>Прочие неналог доходы</t>
  </si>
  <si>
    <t xml:space="preserve"> ИТОГО СОБСТВ ДОХОДЫ</t>
  </si>
  <si>
    <t>Акцизы на автобензин</t>
  </si>
  <si>
    <t>Собств доходы без акцизов и родит платы</t>
  </si>
  <si>
    <t>Собств доходы без акцизов</t>
  </si>
  <si>
    <t>Возврат остатков прошл лет</t>
  </si>
  <si>
    <t>2190500005</t>
  </si>
  <si>
    <t>2070500013</t>
  </si>
  <si>
    <t>доходы от выдачи патентов</t>
  </si>
  <si>
    <t>Аренд плата за землю  неразгранич</t>
  </si>
  <si>
    <t>Аренд плата за землю  гор пос</t>
  </si>
  <si>
    <t>Кассовый план на 9 месяцев  2015 года</t>
  </si>
  <si>
    <t>в т.ч. земельный налог организ.</t>
  </si>
  <si>
    <t>в т.ч. земельный налог  физ лиц</t>
  </si>
  <si>
    <t>2040500005</t>
  </si>
  <si>
    <t>Доходы связ с экспл имущества</t>
  </si>
  <si>
    <t xml:space="preserve"> Доходы от продажи зем уч неразгр</t>
  </si>
  <si>
    <t xml:space="preserve"> Доходы от продажи зем уч разгр</t>
  </si>
  <si>
    <t>Аренд плата за землю  разгранич</t>
  </si>
  <si>
    <t>2190500013</t>
  </si>
  <si>
    <t>Доходы от возврата остатков пр лет</t>
  </si>
  <si>
    <t>2186001005</t>
  </si>
  <si>
    <t>2196001005</t>
  </si>
  <si>
    <t>2019 год</t>
  </si>
  <si>
    <t>Доходы от сдачи в аренду им-ва в казне</t>
  </si>
  <si>
    <t>2186001013</t>
  </si>
  <si>
    <t>на 01.01.2020 года</t>
  </si>
  <si>
    <t>Первоначальный план на 2020 год</t>
  </si>
  <si>
    <t>Уточненный план на 2020 год</t>
  </si>
  <si>
    <t>2020 год</t>
  </si>
  <si>
    <t>доходы от сдачи в аренду им-ва в казне</t>
  </si>
  <si>
    <t>Фактическое исполнение за январь-май</t>
  </si>
  <si>
    <t>на 01.06.2020 года</t>
  </si>
  <si>
    <t>Фактическое исполнение за январь-июнь</t>
  </si>
  <si>
    <t>Поступило за июнь  2020 года</t>
  </si>
  <si>
    <t>Поступило за июнь   2019 года</t>
  </si>
  <si>
    <t>Сведения об исполнении бюджета муниципального района по состоянию на  01 июля   2020 года</t>
  </si>
  <si>
    <t xml:space="preserve">об исполнении бюджета Ленинского городского поселения на 1 июля  2020 г. </t>
  </si>
  <si>
    <t>об исполнении бюджета Высокораменского сельского поселения на 01 июля  2020 г.</t>
  </si>
  <si>
    <t>об исполнении бюджета Гостовского сельского поселения на 01 июля  2020г.</t>
  </si>
  <si>
    <t>об исполнении бюджета Новотроицкого сельского поселения на 01  июля   2020 г.</t>
  </si>
  <si>
    <t>об исполнении бюджета Черновского сельского поселения на 01 июля    2020 г.</t>
  </si>
  <si>
    <t xml:space="preserve">об исполнении бюджета муниципального  образования на  01 июля  2020 года </t>
  </si>
  <si>
    <t>на 01.07.2020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</si>
</sst>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  <numFmt numFmtId="166" formatCode="0.000"/>
    <numFmt numFmtId="167" formatCode="0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20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top" wrapText="1"/>
    </xf>
    <xf numFmtId="165" fontId="3" fillId="33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0" fontId="7" fillId="35" borderId="12" xfId="0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33" borderId="12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7" fillId="35" borderId="12" xfId="0" applyFont="1" applyFill="1" applyBorder="1" applyAlignment="1">
      <alignment/>
    </xf>
    <xf numFmtId="0" fontId="8" fillId="35" borderId="12" xfId="0" applyFont="1" applyFill="1" applyBorder="1" applyAlignment="1">
      <alignment wrapText="1"/>
    </xf>
    <xf numFmtId="0" fontId="7" fillId="34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49" fontId="8" fillId="33" borderId="12" xfId="0" applyNumberFormat="1" applyFont="1" applyFill="1" applyBorder="1" applyAlignment="1">
      <alignment horizontal="right"/>
    </xf>
    <xf numFmtId="0" fontId="8" fillId="36" borderId="12" xfId="0" applyFont="1" applyFill="1" applyBorder="1" applyAlignment="1">
      <alignment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/>
    </xf>
    <xf numFmtId="0" fontId="9" fillId="33" borderId="12" xfId="0" applyFont="1" applyFill="1" applyBorder="1" applyAlignment="1">
      <alignment/>
    </xf>
    <xf numFmtId="0" fontId="7" fillId="34" borderId="12" xfId="0" applyFont="1" applyFill="1" applyBorder="1" applyAlignment="1">
      <alignment wrapText="1"/>
    </xf>
    <xf numFmtId="0" fontId="8" fillId="35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49" fontId="8" fillId="33" borderId="12" xfId="0" applyNumberFormat="1" applyFont="1" applyFill="1" applyBorder="1" applyAlignment="1">
      <alignment horizontal="right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/>
    </xf>
    <xf numFmtId="0" fontId="10" fillId="35" borderId="12" xfId="0" applyFont="1" applyFill="1" applyBorder="1" applyAlignment="1">
      <alignment wrapText="1"/>
    </xf>
    <xf numFmtId="0" fontId="6" fillId="35" borderId="12" xfId="0" applyFont="1" applyFill="1" applyBorder="1" applyAlignment="1">
      <alignment/>
    </xf>
    <xf numFmtId="0" fontId="6" fillId="35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10" fillId="34" borderId="12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/>
    </xf>
    <xf numFmtId="0" fontId="10" fillId="35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49" fontId="6" fillId="33" borderId="12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34" borderId="13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wrapText="1"/>
    </xf>
    <xf numFmtId="0" fontId="8" fillId="35" borderId="13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5" borderId="0" xfId="0" applyFont="1" applyFill="1" applyBorder="1" applyAlignment="1">
      <alignment/>
    </xf>
    <xf numFmtId="0" fontId="11" fillId="34" borderId="12" xfId="0" applyFont="1" applyFill="1" applyBorder="1" applyAlignment="1">
      <alignment wrapText="1"/>
    </xf>
    <xf numFmtId="164" fontId="11" fillId="34" borderId="12" xfId="55" applyNumberFormat="1" applyFont="1" applyFill="1" applyBorder="1" applyAlignment="1">
      <alignment/>
    </xf>
    <xf numFmtId="0" fontId="12" fillId="35" borderId="12" xfId="0" applyFont="1" applyFill="1" applyBorder="1" applyAlignment="1">
      <alignment wrapText="1"/>
    </xf>
    <xf numFmtId="164" fontId="12" fillId="35" borderId="12" xfId="55" applyNumberFormat="1" applyFont="1" applyFill="1" applyBorder="1" applyAlignment="1">
      <alignment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/>
    </xf>
    <xf numFmtId="164" fontId="12" fillId="33" borderId="12" xfId="55" applyNumberFormat="1" applyFont="1" applyFill="1" applyBorder="1" applyAlignment="1">
      <alignment/>
    </xf>
    <xf numFmtId="0" fontId="12" fillId="35" borderId="12" xfId="0" applyFont="1" applyFill="1" applyBorder="1" applyAlignment="1">
      <alignment/>
    </xf>
    <xf numFmtId="164" fontId="5" fillId="34" borderId="13" xfId="55" applyNumberFormat="1" applyFont="1" applyFill="1" applyBorder="1" applyAlignment="1">
      <alignment/>
    </xf>
    <xf numFmtId="0" fontId="13" fillId="35" borderId="13" xfId="0" applyFont="1" applyFill="1" applyBorder="1" applyAlignment="1">
      <alignment/>
    </xf>
    <xf numFmtId="164" fontId="13" fillId="35" borderId="13" xfId="55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165" fontId="13" fillId="33" borderId="12" xfId="0" applyNumberFormat="1" applyFont="1" applyFill="1" applyBorder="1" applyAlignment="1">
      <alignment/>
    </xf>
    <xf numFmtId="165" fontId="13" fillId="33" borderId="13" xfId="0" applyNumberFormat="1" applyFont="1" applyFill="1" applyBorder="1" applyAlignment="1">
      <alignment/>
    </xf>
    <xf numFmtId="164" fontId="13" fillId="33" borderId="13" xfId="55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5" borderId="12" xfId="0" applyFont="1" applyFill="1" applyBorder="1" applyAlignment="1">
      <alignment/>
    </xf>
    <xf numFmtId="165" fontId="13" fillId="35" borderId="12" xfId="0" applyNumberFormat="1" applyFont="1" applyFill="1" applyBorder="1" applyAlignment="1">
      <alignment/>
    </xf>
    <xf numFmtId="0" fontId="13" fillId="33" borderId="12" xfId="0" applyNumberFormat="1" applyFont="1" applyFill="1" applyBorder="1" applyAlignment="1">
      <alignment/>
    </xf>
    <xf numFmtId="165" fontId="13" fillId="35" borderId="13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164" fontId="13" fillId="33" borderId="12" xfId="55" applyNumberFormat="1" applyFont="1" applyFill="1" applyBorder="1" applyAlignment="1">
      <alignment/>
    </xf>
    <xf numFmtId="166" fontId="5" fillId="35" borderId="12" xfId="0" applyNumberFormat="1" applyFont="1" applyFill="1" applyBorder="1" applyAlignment="1">
      <alignment/>
    </xf>
    <xf numFmtId="165" fontId="5" fillId="35" borderId="12" xfId="0" applyNumberFormat="1" applyFont="1" applyFill="1" applyBorder="1" applyAlignment="1">
      <alignment/>
    </xf>
    <xf numFmtId="164" fontId="5" fillId="35" borderId="13" xfId="55" applyNumberFormat="1" applyFont="1" applyFill="1" applyBorder="1" applyAlignment="1">
      <alignment/>
    </xf>
    <xf numFmtId="166" fontId="13" fillId="33" borderId="13" xfId="0" applyNumberFormat="1" applyFont="1" applyFill="1" applyBorder="1" applyAlignment="1">
      <alignment/>
    </xf>
    <xf numFmtId="2" fontId="13" fillId="33" borderId="12" xfId="0" applyNumberFormat="1" applyFont="1" applyFill="1" applyBorder="1" applyAlignment="1">
      <alignment/>
    </xf>
    <xf numFmtId="166" fontId="13" fillId="33" borderId="12" xfId="0" applyNumberFormat="1" applyFont="1" applyFill="1" applyBorder="1" applyAlignment="1">
      <alignment/>
    </xf>
    <xf numFmtId="2" fontId="5" fillId="34" borderId="13" xfId="0" applyNumberFormat="1" applyFont="1" applyFill="1" applyBorder="1" applyAlignment="1">
      <alignment wrapText="1"/>
    </xf>
    <xf numFmtId="2" fontId="13" fillId="35" borderId="13" xfId="0" applyNumberFormat="1" applyFont="1" applyFill="1" applyBorder="1" applyAlignment="1">
      <alignment/>
    </xf>
    <xf numFmtId="165" fontId="5" fillId="34" borderId="12" xfId="0" applyNumberFormat="1" applyFont="1" applyFill="1" applyBorder="1" applyAlignment="1">
      <alignment/>
    </xf>
    <xf numFmtId="164" fontId="13" fillId="35" borderId="12" xfId="55" applyNumberFormat="1" applyFont="1" applyFill="1" applyBorder="1" applyAlignment="1">
      <alignment/>
    </xf>
    <xf numFmtId="2" fontId="5" fillId="35" borderId="12" xfId="0" applyNumberFormat="1" applyFont="1" applyFill="1" applyBorder="1" applyAlignment="1">
      <alignment/>
    </xf>
    <xf numFmtId="0" fontId="5" fillId="34" borderId="12" xfId="0" applyFont="1" applyFill="1" applyBorder="1" applyAlignment="1">
      <alignment wrapText="1"/>
    </xf>
    <xf numFmtId="164" fontId="5" fillId="34" borderId="12" xfId="55" applyNumberFormat="1" applyFont="1" applyFill="1" applyBorder="1" applyAlignment="1">
      <alignment/>
    </xf>
    <xf numFmtId="164" fontId="5" fillId="35" borderId="12" xfId="55" applyNumberFormat="1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13" fillId="35" borderId="12" xfId="0" applyNumberFormat="1" applyFont="1" applyFill="1" applyBorder="1" applyAlignment="1">
      <alignment/>
    </xf>
    <xf numFmtId="2" fontId="5" fillId="34" borderId="12" xfId="0" applyNumberFormat="1" applyFont="1" applyFill="1" applyBorder="1" applyAlignment="1">
      <alignment horizontal="right"/>
    </xf>
    <xf numFmtId="164" fontId="5" fillId="34" borderId="12" xfId="55" applyNumberFormat="1" applyFont="1" applyFill="1" applyBorder="1" applyAlignment="1">
      <alignment/>
    </xf>
    <xf numFmtId="165" fontId="5" fillId="35" borderId="12" xfId="0" applyNumberFormat="1" applyFont="1" applyFill="1" applyBorder="1" applyAlignment="1">
      <alignment/>
    </xf>
    <xf numFmtId="164" fontId="5" fillId="35" borderId="12" xfId="55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2" fontId="5" fillId="33" borderId="12" xfId="0" applyNumberFormat="1" applyFont="1" applyFill="1" applyBorder="1" applyAlignment="1">
      <alignment horizontal="right" vertical="center" wrapText="1"/>
    </xf>
    <xf numFmtId="165" fontId="5" fillId="33" borderId="12" xfId="0" applyNumberFormat="1" applyFont="1" applyFill="1" applyBorder="1" applyAlignment="1">
      <alignment/>
    </xf>
    <xf numFmtId="164" fontId="5" fillId="33" borderId="12" xfId="55" applyNumberFormat="1" applyFont="1" applyFill="1" applyBorder="1" applyAlignment="1">
      <alignment/>
    </xf>
    <xf numFmtId="165" fontId="5" fillId="33" borderId="12" xfId="0" applyNumberFormat="1" applyFont="1" applyFill="1" applyBorder="1" applyAlignment="1">
      <alignment horizontal="right" vertical="center" wrapText="1"/>
    </xf>
    <xf numFmtId="0" fontId="5" fillId="35" borderId="12" xfId="0" applyFont="1" applyFill="1" applyBorder="1" applyAlignment="1">
      <alignment/>
    </xf>
    <xf numFmtId="2" fontId="5" fillId="35" borderId="12" xfId="0" applyNumberFormat="1" applyFont="1" applyFill="1" applyBorder="1" applyAlignment="1">
      <alignment/>
    </xf>
    <xf numFmtId="165" fontId="5" fillId="35" borderId="12" xfId="0" applyNumberFormat="1" applyFont="1" applyFill="1" applyBorder="1" applyAlignment="1">
      <alignment horizontal="right" vertical="center" wrapText="1"/>
    </xf>
    <xf numFmtId="0" fontId="13" fillId="35" borderId="12" xfId="0" applyFont="1" applyFill="1" applyBorder="1" applyAlignment="1">
      <alignment/>
    </xf>
    <xf numFmtId="166" fontId="5" fillId="34" borderId="12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65" fontId="5" fillId="0" borderId="12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166" fontId="5" fillId="36" borderId="12" xfId="0" applyNumberFormat="1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2" xfId="0" applyFont="1" applyFill="1" applyBorder="1" applyAlignment="1">
      <alignment horizontal="right"/>
    </xf>
    <xf numFmtId="165" fontId="5" fillId="36" borderId="12" xfId="0" applyNumberFormat="1" applyFont="1" applyFill="1" applyBorder="1" applyAlignment="1">
      <alignment/>
    </xf>
    <xf numFmtId="164" fontId="5" fillId="36" borderId="12" xfId="55" applyNumberFormat="1" applyFont="1" applyFill="1" applyBorder="1" applyAlignment="1">
      <alignment/>
    </xf>
    <xf numFmtId="166" fontId="5" fillId="33" borderId="12" xfId="0" applyNumberFormat="1" applyFont="1" applyFill="1" applyBorder="1" applyAlignment="1">
      <alignment/>
    </xf>
    <xf numFmtId="166" fontId="5" fillId="33" borderId="12" xfId="0" applyNumberFormat="1" applyFont="1" applyFill="1" applyBorder="1" applyAlignment="1">
      <alignment horizontal="right" vertical="center" wrapText="1"/>
    </xf>
    <xf numFmtId="165" fontId="5" fillId="34" borderId="12" xfId="0" applyNumberFormat="1" applyFont="1" applyFill="1" applyBorder="1" applyAlignment="1">
      <alignment horizontal="right"/>
    </xf>
    <xf numFmtId="165" fontId="11" fillId="34" borderId="12" xfId="0" applyNumberFormat="1" applyFont="1" applyFill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5" fillId="35" borderId="12" xfId="0" applyNumberFormat="1" applyFont="1" applyFill="1" applyBorder="1" applyAlignment="1">
      <alignment/>
    </xf>
    <xf numFmtId="166" fontId="5" fillId="34" borderId="12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2" fontId="13" fillId="35" borderId="12" xfId="0" applyNumberFormat="1" applyFont="1" applyFill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right"/>
    </xf>
    <xf numFmtId="166" fontId="13" fillId="35" borderId="12" xfId="0" applyNumberFormat="1" applyFont="1" applyFill="1" applyBorder="1" applyAlignment="1">
      <alignment/>
    </xf>
    <xf numFmtId="0" fontId="13" fillId="33" borderId="14" xfId="0" applyFont="1" applyFill="1" applyBorder="1" applyAlignment="1">
      <alignment/>
    </xf>
    <xf numFmtId="166" fontId="12" fillId="0" borderId="12" xfId="0" applyNumberFormat="1" applyFont="1" applyBorder="1" applyAlignment="1">
      <alignment/>
    </xf>
    <xf numFmtId="165" fontId="14" fillId="0" borderId="0" xfId="0" applyNumberFormat="1" applyFont="1" applyAlignment="1">
      <alignment/>
    </xf>
    <xf numFmtId="0" fontId="13" fillId="12" borderId="12" xfId="0" applyFont="1" applyFill="1" applyBorder="1" applyAlignment="1">
      <alignment/>
    </xf>
    <xf numFmtId="0" fontId="13" fillId="12" borderId="13" xfId="0" applyFont="1" applyFill="1" applyBorder="1" applyAlignment="1">
      <alignment/>
    </xf>
    <xf numFmtId="164" fontId="13" fillId="12" borderId="13" xfId="55" applyNumberFormat="1" applyFont="1" applyFill="1" applyBorder="1" applyAlignment="1">
      <alignment/>
    </xf>
    <xf numFmtId="0" fontId="11" fillId="34" borderId="12" xfId="0" applyNumberFormat="1" applyFont="1" applyFill="1" applyBorder="1" applyAlignment="1">
      <alignment wrapText="1"/>
    </xf>
    <xf numFmtId="0" fontId="12" fillId="35" borderId="12" xfId="0" applyNumberFormat="1" applyFont="1" applyFill="1" applyBorder="1" applyAlignment="1">
      <alignment wrapText="1"/>
    </xf>
    <xf numFmtId="0" fontId="12" fillId="0" borderId="12" xfId="0" applyNumberFormat="1" applyFont="1" applyBorder="1" applyAlignment="1">
      <alignment/>
    </xf>
    <xf numFmtId="0" fontId="12" fillId="35" borderId="12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2" fontId="5" fillId="34" borderId="12" xfId="0" applyNumberFormat="1" applyFont="1" applyFill="1" applyBorder="1" applyAlignment="1">
      <alignment wrapText="1"/>
    </xf>
    <xf numFmtId="0" fontId="13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165" fontId="13" fillId="0" borderId="13" xfId="0" applyNumberFormat="1" applyFont="1" applyFill="1" applyBorder="1" applyAlignment="1">
      <alignment/>
    </xf>
    <xf numFmtId="164" fontId="13" fillId="0" borderId="13" xfId="55" applyNumberFormat="1" applyFont="1" applyFill="1" applyBorder="1" applyAlignment="1">
      <alignment/>
    </xf>
    <xf numFmtId="0" fontId="10" fillId="12" borderId="12" xfId="0" applyFont="1" applyFill="1" applyBorder="1" applyAlignment="1">
      <alignment/>
    </xf>
    <xf numFmtId="165" fontId="13" fillId="12" borderId="13" xfId="0" applyNumberFormat="1" applyFont="1" applyFill="1" applyBorder="1" applyAlignment="1">
      <alignment/>
    </xf>
    <xf numFmtId="0" fontId="12" fillId="12" borderId="12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13" fillId="12" borderId="15" xfId="0" applyFont="1" applyFill="1" applyBorder="1" applyAlignment="1">
      <alignment/>
    </xf>
    <xf numFmtId="166" fontId="5" fillId="34" borderId="12" xfId="0" applyNumberFormat="1" applyFont="1" applyFill="1" applyBorder="1" applyAlignment="1">
      <alignment/>
    </xf>
    <xf numFmtId="166" fontId="5" fillId="35" borderId="12" xfId="0" applyNumberFormat="1" applyFont="1" applyFill="1" applyBorder="1" applyAlignment="1">
      <alignment/>
    </xf>
    <xf numFmtId="164" fontId="5" fillId="0" borderId="17" xfId="55" applyNumberFormat="1" applyFont="1" applyFill="1" applyBorder="1" applyAlignment="1">
      <alignment/>
    </xf>
    <xf numFmtId="164" fontId="13" fillId="0" borderId="17" xfId="55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49" fontId="6" fillId="33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14" xfId="0" applyFont="1" applyFill="1" applyBorder="1" applyAlignment="1">
      <alignment wrapText="1"/>
    </xf>
    <xf numFmtId="165" fontId="5" fillId="0" borderId="14" xfId="0" applyNumberFormat="1" applyFont="1" applyFill="1" applyBorder="1" applyAlignment="1">
      <alignment/>
    </xf>
    <xf numFmtId="165" fontId="5" fillId="34" borderId="12" xfId="0" applyNumberFormat="1" applyFont="1" applyFill="1" applyBorder="1" applyAlignment="1">
      <alignment wrapText="1"/>
    </xf>
    <xf numFmtId="165" fontId="3" fillId="0" borderId="0" xfId="0" applyNumberFormat="1" applyFont="1" applyAlignment="1">
      <alignment/>
    </xf>
    <xf numFmtId="166" fontId="11" fillId="34" borderId="12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2" fontId="13" fillId="33" borderId="13" xfId="0" applyNumberFormat="1" applyFont="1" applyFill="1" applyBorder="1" applyAlignment="1">
      <alignment/>
    </xf>
    <xf numFmtId="0" fontId="13" fillId="0" borderId="0" xfId="0" applyFont="1" applyAlignment="1">
      <alignment/>
    </xf>
    <xf numFmtId="165" fontId="7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5" fontId="5" fillId="35" borderId="16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33" borderId="17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166" fontId="8" fillId="0" borderId="0" xfId="0" applyNumberFormat="1" applyFont="1" applyAlignment="1">
      <alignment/>
    </xf>
    <xf numFmtId="166" fontId="0" fillId="0" borderId="0" xfId="0" applyNumberFormat="1" applyAlignment="1">
      <alignment/>
    </xf>
    <xf numFmtId="165" fontId="13" fillId="0" borderId="17" xfId="0" applyNumberFormat="1" applyFont="1" applyFill="1" applyBorder="1" applyAlignment="1">
      <alignment/>
    </xf>
    <xf numFmtId="167" fontId="6" fillId="33" borderId="12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left"/>
    </xf>
    <xf numFmtId="2" fontId="5" fillId="36" borderId="12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tabSelected="1" zoomScaleSheetLayoutView="50" zoomScalePageLayoutView="0" workbookViewId="0" topLeftCell="A1">
      <pane xSplit="2" ySplit="4" topLeftCell="G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3" sqref="L3"/>
    </sheetView>
  </sheetViews>
  <sheetFormatPr defaultColWidth="9.00390625" defaultRowHeight="12.75"/>
  <cols>
    <col min="1" max="1" width="40.875" style="0" customWidth="1"/>
    <col min="2" max="2" width="14.00390625" style="0" customWidth="1"/>
    <col min="3" max="3" width="16.00390625" style="0" customWidth="1"/>
    <col min="4" max="4" width="13.375" style="0" customWidth="1"/>
    <col min="5" max="5" width="16.25390625" style="0" customWidth="1"/>
    <col min="6" max="6" width="11.875" style="0" hidden="1" customWidth="1"/>
    <col min="7" max="7" width="12.25390625" style="0" customWidth="1"/>
    <col min="8" max="8" width="12.625" style="0" customWidth="1"/>
    <col min="9" max="9" width="11.75390625" style="0" customWidth="1"/>
    <col min="10" max="10" width="10.875" style="0" hidden="1" customWidth="1"/>
    <col min="11" max="11" width="13.25390625" style="0" customWidth="1"/>
    <col min="12" max="12" width="12.25390625" style="0" customWidth="1"/>
    <col min="13" max="13" width="12.875" style="0" customWidth="1"/>
    <col min="14" max="14" width="13.00390625" style="0" customWidth="1"/>
    <col min="15" max="15" width="12.00390625" style="0" customWidth="1"/>
    <col min="16" max="16" width="12.625" style="0" customWidth="1"/>
    <col min="17" max="17" width="11.875" style="0" customWidth="1"/>
    <col min="18" max="18" width="10.75390625" style="0" customWidth="1"/>
    <col min="19" max="19" width="14.625" style="0" customWidth="1"/>
    <col min="20" max="20" width="12.625" style="0" customWidth="1"/>
  </cols>
  <sheetData>
    <row r="1" spans="1:13" ht="24.75" customHeight="1">
      <c r="A1" s="180" t="s">
        <v>124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8" ht="20.25" customHeight="1">
      <c r="A2" s="181" t="s">
        <v>28</v>
      </c>
      <c r="B2" s="181" t="s">
        <v>4</v>
      </c>
      <c r="C2" s="181" t="s">
        <v>115</v>
      </c>
      <c r="D2" s="181" t="s">
        <v>24</v>
      </c>
      <c r="E2" s="181" t="s">
        <v>116</v>
      </c>
      <c r="F2" s="181" t="s">
        <v>99</v>
      </c>
      <c r="G2" s="181" t="s">
        <v>119</v>
      </c>
      <c r="H2" s="181" t="s">
        <v>117</v>
      </c>
      <c r="I2" s="181"/>
      <c r="J2" s="181"/>
      <c r="K2" s="181" t="s">
        <v>111</v>
      </c>
      <c r="L2" s="181"/>
      <c r="M2" s="181" t="s">
        <v>122</v>
      </c>
      <c r="N2" s="181" t="s">
        <v>123</v>
      </c>
      <c r="O2" s="181" t="s">
        <v>30</v>
      </c>
      <c r="P2" s="181" t="s">
        <v>9</v>
      </c>
      <c r="Q2" s="181"/>
      <c r="R2" s="181"/>
    </row>
    <row r="3" spans="1:18" ht="97.5" customHeight="1">
      <c r="A3" s="181"/>
      <c r="B3" s="181"/>
      <c r="C3" s="181"/>
      <c r="D3" s="181"/>
      <c r="E3" s="181"/>
      <c r="F3" s="181"/>
      <c r="G3" s="181"/>
      <c r="H3" s="47" t="s">
        <v>121</v>
      </c>
      <c r="I3" s="47" t="s">
        <v>10</v>
      </c>
      <c r="J3" s="47" t="s">
        <v>29</v>
      </c>
      <c r="K3" s="47" t="s">
        <v>121</v>
      </c>
      <c r="L3" s="47" t="s">
        <v>30</v>
      </c>
      <c r="M3" s="181"/>
      <c r="N3" s="181"/>
      <c r="O3" s="181"/>
      <c r="P3" s="122" t="s">
        <v>114</v>
      </c>
      <c r="Q3" s="122" t="s">
        <v>120</v>
      </c>
      <c r="R3" s="122" t="s">
        <v>131</v>
      </c>
    </row>
    <row r="4" spans="1:18" ht="18.75">
      <c r="A4" s="35" t="s">
        <v>21</v>
      </c>
      <c r="B4" s="36"/>
      <c r="C4" s="56">
        <f aca="true" t="shared" si="0" ref="C4:H4">C5+C9+C14+C20+C21+C22</f>
        <v>60925.5</v>
      </c>
      <c r="D4" s="56">
        <f t="shared" si="0"/>
        <v>-3339.7</v>
      </c>
      <c r="E4" s="56">
        <f t="shared" si="0"/>
        <v>57585.799999999996</v>
      </c>
      <c r="F4" s="56">
        <f t="shared" si="0"/>
        <v>28287.7</v>
      </c>
      <c r="G4" s="56">
        <f t="shared" si="0"/>
        <v>23896</v>
      </c>
      <c r="H4" s="56">
        <f t="shared" si="0"/>
        <v>27414.7</v>
      </c>
      <c r="I4" s="57">
        <f>IF(E4&gt;0,H4/E4,0)</f>
        <v>0.4760670165214341</v>
      </c>
      <c r="J4" s="57">
        <f>IF(F4&gt;0,H4/F4,0)</f>
        <v>0.9691385301738918</v>
      </c>
      <c r="K4" s="56">
        <f>K5+K9+K14+K20+K21+K22</f>
        <v>31229.4</v>
      </c>
      <c r="L4" s="57">
        <f aca="true" t="shared" si="1" ref="L4:L49">IF(K4&gt;0,H4/K4,0)</f>
        <v>0.8778490781122916</v>
      </c>
      <c r="M4" s="56">
        <f>M5+M9+M14+M20+M21+M22</f>
        <v>3518.7000000000007</v>
      </c>
      <c r="N4" s="56">
        <f>N5+N9+N14+N20+N21+N22</f>
        <v>2590.7999999999997</v>
      </c>
      <c r="O4" s="57">
        <f aca="true" t="shared" si="2" ref="O4:O49">IF(N4&gt;0,M4/N4,0)</f>
        <v>1.3581519221861977</v>
      </c>
      <c r="P4" s="56">
        <f>P5+P9+P14+P20+P21+P22</f>
        <v>430.00000000000006</v>
      </c>
      <c r="Q4" s="56">
        <f>Q5+Q9+Q14+Q20+Q21+Q22</f>
        <v>3128.2</v>
      </c>
      <c r="R4" s="56">
        <f>R5+R9+R14+R20+R21+R22</f>
        <v>1871.3999999999996</v>
      </c>
    </row>
    <row r="5" spans="1:18" ht="18.75">
      <c r="A5" s="37" t="s">
        <v>63</v>
      </c>
      <c r="B5" s="38">
        <v>1010200001</v>
      </c>
      <c r="C5" s="58">
        <f aca="true" t="shared" si="3" ref="C5:H5">SUM(C6:C8)</f>
        <v>15017.9</v>
      </c>
      <c r="D5" s="58">
        <f t="shared" si="3"/>
        <v>0</v>
      </c>
      <c r="E5" s="58">
        <f t="shared" si="3"/>
        <v>15017.9</v>
      </c>
      <c r="F5" s="58">
        <f t="shared" si="3"/>
        <v>9897.800000000001</v>
      </c>
      <c r="G5" s="58">
        <f t="shared" si="3"/>
        <v>5445.7</v>
      </c>
      <c r="H5" s="58">
        <f t="shared" si="3"/>
        <v>6658.4</v>
      </c>
      <c r="I5" s="59">
        <f>IF(E5&gt;0,H5/E5,0)</f>
        <v>0.44336425199262214</v>
      </c>
      <c r="J5" s="59">
        <f>IF(F5&gt;0,H5/F5,0)</f>
        <v>0.67271514882095</v>
      </c>
      <c r="K5" s="58">
        <f>SUM(K6:K8)</f>
        <v>6650.499999999999</v>
      </c>
      <c r="L5" s="59">
        <f t="shared" si="1"/>
        <v>1.0011878806104806</v>
      </c>
      <c r="M5" s="58">
        <f>SUM(M6:M8)</f>
        <v>1212.7</v>
      </c>
      <c r="N5" s="58">
        <f>SUM(N6:N8)</f>
        <v>1041.1</v>
      </c>
      <c r="O5" s="59">
        <f t="shared" si="2"/>
        <v>1.1648256651618483</v>
      </c>
      <c r="P5" s="58">
        <f>SUM(P6:P8)</f>
        <v>47.3</v>
      </c>
      <c r="Q5" s="58">
        <f>SUM(Q6:Q8)</f>
        <v>84</v>
      </c>
      <c r="R5" s="58">
        <f>SUM(R6:R8)</f>
        <v>53.1</v>
      </c>
    </row>
    <row r="6" spans="1:19" ht="18.75" customHeight="1">
      <c r="A6" s="40" t="s">
        <v>40</v>
      </c>
      <c r="B6" s="8">
        <v>1010201001</v>
      </c>
      <c r="C6" s="60">
        <v>14923</v>
      </c>
      <c r="D6" s="61"/>
      <c r="E6" s="61">
        <f>C6+D6</f>
        <v>14923</v>
      </c>
      <c r="F6" s="61">
        <f>2700+346+3300+3328.7+150</f>
        <v>9824.7</v>
      </c>
      <c r="G6" s="61">
        <v>5405.1</v>
      </c>
      <c r="H6" s="61">
        <f>G6+M6</f>
        <v>6617.8</v>
      </c>
      <c r="I6" s="62">
        <f aca="true" t="shared" si="4" ref="I6:I49">IF(E6&gt;0,H6/E6,0)</f>
        <v>0.44346311063459093</v>
      </c>
      <c r="J6" s="62">
        <f aca="true" t="shared" si="5" ref="J6:J49">IF(F6&gt;0,H6/F6,0)</f>
        <v>0.673587997597891</v>
      </c>
      <c r="K6" s="61">
        <v>6607.2</v>
      </c>
      <c r="L6" s="62">
        <f t="shared" si="1"/>
        <v>1.001604310449207</v>
      </c>
      <c r="M6" s="61">
        <v>1212.7</v>
      </c>
      <c r="N6" s="61">
        <v>1043.3</v>
      </c>
      <c r="O6" s="62">
        <f t="shared" si="2"/>
        <v>1.1623694047733155</v>
      </c>
      <c r="P6" s="61">
        <v>34.4</v>
      </c>
      <c r="Q6" s="61">
        <v>77.9</v>
      </c>
      <c r="R6" s="61">
        <v>47</v>
      </c>
      <c r="S6" s="26"/>
    </row>
    <row r="7" spans="1:19" ht="21" customHeight="1">
      <c r="A7" s="40" t="s">
        <v>41</v>
      </c>
      <c r="B7" s="8">
        <v>1010202001</v>
      </c>
      <c r="C7" s="60">
        <v>36</v>
      </c>
      <c r="D7" s="61"/>
      <c r="E7" s="61">
        <f aca="true" t="shared" si="6" ref="E7:E22">C7+D7</f>
        <v>36</v>
      </c>
      <c r="F7" s="61">
        <f>26.1</f>
        <v>26.1</v>
      </c>
      <c r="G7" s="61">
        <v>13.9</v>
      </c>
      <c r="H7" s="61">
        <f>G7+M7</f>
        <v>13.9</v>
      </c>
      <c r="I7" s="62">
        <f t="shared" si="4"/>
        <v>0.3861111111111111</v>
      </c>
      <c r="J7" s="62">
        <f t="shared" si="5"/>
        <v>0.5325670498084291</v>
      </c>
      <c r="K7" s="61">
        <v>-3.6</v>
      </c>
      <c r="L7" s="62">
        <f t="shared" si="1"/>
        <v>0</v>
      </c>
      <c r="M7" s="61"/>
      <c r="N7" s="61">
        <v>-3.7</v>
      </c>
      <c r="O7" s="62">
        <f t="shared" si="2"/>
        <v>0</v>
      </c>
      <c r="P7" s="61"/>
      <c r="Q7" s="61"/>
      <c r="R7" s="61"/>
      <c r="S7" s="26"/>
    </row>
    <row r="8" spans="1:19" ht="21" customHeight="1">
      <c r="A8" s="40" t="s">
        <v>42</v>
      </c>
      <c r="B8" s="8">
        <v>1010203001</v>
      </c>
      <c r="C8" s="60">
        <v>58.9</v>
      </c>
      <c r="D8" s="61"/>
      <c r="E8" s="61">
        <f t="shared" si="6"/>
        <v>58.9</v>
      </c>
      <c r="F8" s="61">
        <f>2+45</f>
        <v>47</v>
      </c>
      <c r="G8" s="61">
        <v>26.7</v>
      </c>
      <c r="H8" s="61">
        <f>G8+M8</f>
        <v>26.7</v>
      </c>
      <c r="I8" s="62">
        <f t="shared" si="4"/>
        <v>0.4533106960950764</v>
      </c>
      <c r="J8" s="62">
        <f t="shared" si="5"/>
        <v>0.5680851063829787</v>
      </c>
      <c r="K8" s="61">
        <v>46.9</v>
      </c>
      <c r="L8" s="62">
        <f t="shared" si="1"/>
        <v>0.5692963752665245</v>
      </c>
      <c r="M8" s="61"/>
      <c r="N8" s="61">
        <v>1.5</v>
      </c>
      <c r="O8" s="62">
        <f t="shared" si="2"/>
        <v>0</v>
      </c>
      <c r="P8" s="61">
        <v>12.9</v>
      </c>
      <c r="Q8" s="61">
        <v>6.1</v>
      </c>
      <c r="R8" s="61">
        <v>6.1</v>
      </c>
      <c r="S8" s="26"/>
    </row>
    <row r="9" spans="1:19" ht="18" customHeight="1">
      <c r="A9" s="37" t="s">
        <v>48</v>
      </c>
      <c r="B9" s="39">
        <v>1030200001</v>
      </c>
      <c r="C9" s="58">
        <f aca="true" t="shared" si="7" ref="C9:H9">SUM(C10:C13)</f>
        <v>8288.8</v>
      </c>
      <c r="D9" s="58">
        <f t="shared" si="7"/>
        <v>0</v>
      </c>
      <c r="E9" s="58">
        <f t="shared" si="7"/>
        <v>8288.8</v>
      </c>
      <c r="F9" s="58">
        <f>925+200+490+1350+1800</f>
        <v>4765</v>
      </c>
      <c r="G9" s="58">
        <f>SUM(G10:G13)</f>
        <v>2872.7999999999997</v>
      </c>
      <c r="H9" s="58">
        <f t="shared" si="7"/>
        <v>3370.9</v>
      </c>
      <c r="I9" s="59">
        <f t="shared" si="4"/>
        <v>0.4066813048933501</v>
      </c>
      <c r="J9" s="59">
        <f t="shared" si="5"/>
        <v>0.7074291710388247</v>
      </c>
      <c r="K9" s="58">
        <f>SUM(K10:K13)</f>
        <v>3797.899999999999</v>
      </c>
      <c r="L9" s="59">
        <f t="shared" si="1"/>
        <v>0.8875694462729405</v>
      </c>
      <c r="M9" s="58">
        <f>SUM(M10:M13)</f>
        <v>498.1000000000001</v>
      </c>
      <c r="N9" s="58">
        <f>SUM(N10:N13)</f>
        <v>590</v>
      </c>
      <c r="O9" s="59">
        <f t="shared" si="2"/>
        <v>0.8442372881355934</v>
      </c>
      <c r="P9" s="58">
        <f>SUM(P10:P13)</f>
        <v>0</v>
      </c>
      <c r="Q9" s="58">
        <f>SUM(Q10:Q13)</f>
        <v>0</v>
      </c>
      <c r="R9" s="58">
        <f>SUM(R10:R13)</f>
        <v>0</v>
      </c>
      <c r="S9" s="26"/>
    </row>
    <row r="10" spans="1:19" ht="18.75">
      <c r="A10" s="41" t="s">
        <v>49</v>
      </c>
      <c r="B10" s="41">
        <v>1030223101</v>
      </c>
      <c r="C10" s="60">
        <v>3798.2</v>
      </c>
      <c r="D10" s="61"/>
      <c r="E10" s="61">
        <f t="shared" si="6"/>
        <v>3798.2</v>
      </c>
      <c r="F10" s="61"/>
      <c r="G10" s="61">
        <v>1351.1</v>
      </c>
      <c r="H10" s="61">
        <f>G10+M10</f>
        <v>1597.1</v>
      </c>
      <c r="I10" s="62">
        <f t="shared" si="4"/>
        <v>0.42048865251961454</v>
      </c>
      <c r="J10" s="62">
        <f t="shared" si="5"/>
        <v>0</v>
      </c>
      <c r="K10" s="61">
        <v>1724.1</v>
      </c>
      <c r="L10" s="62">
        <f t="shared" si="1"/>
        <v>0.9263383794443478</v>
      </c>
      <c r="M10" s="61">
        <v>246</v>
      </c>
      <c r="N10" s="61">
        <v>274.9</v>
      </c>
      <c r="O10" s="62">
        <f t="shared" si="2"/>
        <v>0.8948708621316843</v>
      </c>
      <c r="P10" s="61"/>
      <c r="Q10" s="61"/>
      <c r="R10" s="61"/>
      <c r="S10" s="26"/>
    </row>
    <row r="11" spans="1:19" ht="18.75">
      <c r="A11" s="41" t="s">
        <v>50</v>
      </c>
      <c r="B11" s="41">
        <v>1030224101</v>
      </c>
      <c r="C11" s="60">
        <v>19.6</v>
      </c>
      <c r="D11" s="61"/>
      <c r="E11" s="61">
        <f t="shared" si="6"/>
        <v>19.6</v>
      </c>
      <c r="F11" s="61"/>
      <c r="G11" s="61">
        <v>8.6</v>
      </c>
      <c r="H11" s="61">
        <f>G11+M11</f>
        <v>10.4</v>
      </c>
      <c r="I11" s="62">
        <f t="shared" si="4"/>
        <v>0.5306122448979592</v>
      </c>
      <c r="J11" s="62">
        <f t="shared" si="5"/>
        <v>0</v>
      </c>
      <c r="K11" s="61">
        <v>13.1</v>
      </c>
      <c r="L11" s="62">
        <f t="shared" si="1"/>
        <v>0.7938931297709925</v>
      </c>
      <c r="M11" s="61">
        <v>1.8</v>
      </c>
      <c r="N11" s="61">
        <v>2.2</v>
      </c>
      <c r="O11" s="62">
        <f t="shared" si="2"/>
        <v>0.8181818181818181</v>
      </c>
      <c r="P11" s="61"/>
      <c r="Q11" s="61"/>
      <c r="R11" s="61"/>
      <c r="S11" s="26"/>
    </row>
    <row r="12" spans="1:19" ht="18.75" customHeight="1">
      <c r="A12" s="41" t="s">
        <v>51</v>
      </c>
      <c r="B12" s="41">
        <v>1030225101</v>
      </c>
      <c r="C12" s="60">
        <v>4961.2</v>
      </c>
      <c r="D12" s="61"/>
      <c r="E12" s="61">
        <f t="shared" si="6"/>
        <v>4961.2</v>
      </c>
      <c r="F12" s="61"/>
      <c r="G12" s="61">
        <v>1796.2</v>
      </c>
      <c r="H12" s="61">
        <f>G12+M12</f>
        <v>2081.3</v>
      </c>
      <c r="I12" s="62">
        <f t="shared" si="4"/>
        <v>0.41951543981294853</v>
      </c>
      <c r="J12" s="62">
        <f t="shared" si="5"/>
        <v>0</v>
      </c>
      <c r="K12" s="61">
        <v>2389.1</v>
      </c>
      <c r="L12" s="62">
        <f t="shared" si="1"/>
        <v>0.8711648738018501</v>
      </c>
      <c r="M12" s="61">
        <v>285.1</v>
      </c>
      <c r="N12" s="61">
        <v>377.7</v>
      </c>
      <c r="O12" s="62">
        <f t="shared" si="2"/>
        <v>0.7548318771511783</v>
      </c>
      <c r="P12" s="61"/>
      <c r="Q12" s="61"/>
      <c r="R12" s="61"/>
      <c r="S12" s="26"/>
    </row>
    <row r="13" spans="1:19" ht="18.75" customHeight="1">
      <c r="A13" s="41" t="s">
        <v>52</v>
      </c>
      <c r="B13" s="41">
        <v>1030226101</v>
      </c>
      <c r="C13" s="60">
        <v>-490.2</v>
      </c>
      <c r="D13" s="61"/>
      <c r="E13" s="61">
        <f t="shared" si="6"/>
        <v>-490.2</v>
      </c>
      <c r="F13" s="61"/>
      <c r="G13" s="61">
        <v>-283.1</v>
      </c>
      <c r="H13" s="61">
        <f>G13+M13</f>
        <v>-317.90000000000003</v>
      </c>
      <c r="I13" s="62">
        <f>H13/E13</f>
        <v>0.6485108119135048</v>
      </c>
      <c r="J13" s="62">
        <f t="shared" si="5"/>
        <v>0</v>
      </c>
      <c r="K13" s="61">
        <v>-328.4</v>
      </c>
      <c r="L13" s="62">
        <f t="shared" si="1"/>
        <v>0</v>
      </c>
      <c r="M13" s="61">
        <v>-34.8</v>
      </c>
      <c r="N13" s="61">
        <v>-64.8</v>
      </c>
      <c r="O13" s="62">
        <f t="shared" si="2"/>
        <v>0</v>
      </c>
      <c r="P13" s="61"/>
      <c r="Q13" s="61"/>
      <c r="R13" s="61"/>
      <c r="S13" s="26"/>
    </row>
    <row r="14" spans="1:19" ht="18.75">
      <c r="A14" s="37" t="s">
        <v>55</v>
      </c>
      <c r="B14" s="38">
        <v>1050000000</v>
      </c>
      <c r="C14" s="58">
        <f aca="true" t="shared" si="8" ref="C14:H14">SUM(C15:C19)</f>
        <v>31755.8</v>
      </c>
      <c r="D14" s="58">
        <f t="shared" si="8"/>
        <v>-3339.7</v>
      </c>
      <c r="E14" s="58">
        <f t="shared" si="8"/>
        <v>28416.1</v>
      </c>
      <c r="F14" s="58">
        <f t="shared" si="8"/>
        <v>11352.9</v>
      </c>
      <c r="G14" s="58">
        <f>G15+G16+G17+G18+G19</f>
        <v>12627.6</v>
      </c>
      <c r="H14" s="58">
        <f t="shared" si="8"/>
        <v>14351.2</v>
      </c>
      <c r="I14" s="59">
        <f t="shared" si="4"/>
        <v>0.5050376371141713</v>
      </c>
      <c r="J14" s="59">
        <f t="shared" si="5"/>
        <v>1.2640999216059334</v>
      </c>
      <c r="K14" s="58">
        <f>SUM(K15:K19)</f>
        <v>17876.100000000002</v>
      </c>
      <c r="L14" s="59">
        <f t="shared" si="1"/>
        <v>0.8028149316685406</v>
      </c>
      <c r="M14" s="58">
        <f>SUM(M15:M19)</f>
        <v>1723.6000000000001</v>
      </c>
      <c r="N14" s="58">
        <f>N15+N16+N17+N18+N19</f>
        <v>898.6999999999999</v>
      </c>
      <c r="O14" s="59">
        <f t="shared" si="2"/>
        <v>1.9178813842216538</v>
      </c>
      <c r="P14" s="58">
        <f>SUM(P15:P19)</f>
        <v>382.70000000000005</v>
      </c>
      <c r="Q14" s="58">
        <f>SUM(Q15:Q19)</f>
        <v>3044.2</v>
      </c>
      <c r="R14" s="58">
        <f>SUM(R15:R19)</f>
        <v>1818.2999999999997</v>
      </c>
      <c r="S14" s="26"/>
    </row>
    <row r="15" spans="1:19" ht="18.75">
      <c r="A15" s="40" t="s">
        <v>53</v>
      </c>
      <c r="B15" s="8">
        <v>1050101001</v>
      </c>
      <c r="C15" s="60">
        <v>22720.8</v>
      </c>
      <c r="D15" s="61">
        <v>-3339.7</v>
      </c>
      <c r="E15" s="61">
        <f t="shared" si="6"/>
        <v>19381.1</v>
      </c>
      <c r="F15" s="61">
        <f>1100+1131+3100+350+1370</f>
        <v>7051</v>
      </c>
      <c r="G15" s="61">
        <v>8732.7</v>
      </c>
      <c r="H15" s="61">
        <f aca="true" t="shared" si="9" ref="H15:H22">G15+M15</f>
        <v>9936.2</v>
      </c>
      <c r="I15" s="62">
        <f t="shared" si="4"/>
        <v>0.5126747191851856</v>
      </c>
      <c r="J15" s="62">
        <f t="shared" si="5"/>
        <v>1.40919018578925</v>
      </c>
      <c r="K15" s="61">
        <v>12033.5</v>
      </c>
      <c r="L15" s="62">
        <f t="shared" si="1"/>
        <v>0.8257115552416172</v>
      </c>
      <c r="M15" s="61">
        <v>1203.5</v>
      </c>
      <c r="N15" s="61">
        <v>425</v>
      </c>
      <c r="O15" s="62">
        <f t="shared" si="2"/>
        <v>2.8317647058823527</v>
      </c>
      <c r="P15" s="61">
        <v>327.6</v>
      </c>
      <c r="Q15" s="61">
        <v>1317.3</v>
      </c>
      <c r="R15" s="61">
        <v>548.9</v>
      </c>
      <c r="S15" s="26"/>
    </row>
    <row r="16" spans="1:21" ht="18.75">
      <c r="A16" s="40" t="s">
        <v>54</v>
      </c>
      <c r="B16" s="8">
        <v>1050102001</v>
      </c>
      <c r="C16" s="60">
        <v>3500</v>
      </c>
      <c r="D16" s="61"/>
      <c r="E16" s="61">
        <f t="shared" si="6"/>
        <v>3500</v>
      </c>
      <c r="F16" s="61">
        <f>100+159+500+350+400</f>
        <v>1509</v>
      </c>
      <c r="G16" s="61">
        <v>1173.6</v>
      </c>
      <c r="H16" s="61">
        <f t="shared" si="9"/>
        <v>1326.8999999999999</v>
      </c>
      <c r="I16" s="62">
        <f t="shared" si="4"/>
        <v>0.3791142857142857</v>
      </c>
      <c r="J16" s="62">
        <f t="shared" si="5"/>
        <v>0.8793240556660039</v>
      </c>
      <c r="K16" s="61">
        <v>3003.8</v>
      </c>
      <c r="L16" s="62">
        <f t="shared" si="1"/>
        <v>0.4417404620813635</v>
      </c>
      <c r="M16" s="61">
        <v>153.3</v>
      </c>
      <c r="N16" s="61">
        <v>423.3</v>
      </c>
      <c r="O16" s="62">
        <f t="shared" si="2"/>
        <v>0.36215450035435864</v>
      </c>
      <c r="P16" s="61">
        <v>11.6</v>
      </c>
      <c r="Q16" s="61">
        <v>1333.6</v>
      </c>
      <c r="R16" s="61">
        <v>1220.3</v>
      </c>
      <c r="S16" s="26"/>
      <c r="U16" s="164"/>
    </row>
    <row r="17" spans="1:19" ht="18.75">
      <c r="A17" s="40" t="s">
        <v>0</v>
      </c>
      <c r="B17" s="8">
        <v>1050200002</v>
      </c>
      <c r="C17" s="60">
        <v>4800</v>
      </c>
      <c r="D17" s="61"/>
      <c r="E17" s="61">
        <f t="shared" si="6"/>
        <v>4800</v>
      </c>
      <c r="F17" s="61">
        <f>1000+126+65+1480-30</f>
        <v>2641</v>
      </c>
      <c r="G17" s="61">
        <v>2040.3</v>
      </c>
      <c r="H17" s="61">
        <f t="shared" si="9"/>
        <v>2371</v>
      </c>
      <c r="I17" s="62">
        <f t="shared" si="4"/>
        <v>0.49395833333333333</v>
      </c>
      <c r="J17" s="62">
        <f t="shared" si="5"/>
        <v>0.8977659977281333</v>
      </c>
      <c r="K17" s="61">
        <v>2462.9</v>
      </c>
      <c r="L17" s="62">
        <f t="shared" si="1"/>
        <v>0.9626862641601364</v>
      </c>
      <c r="M17" s="61">
        <v>330.7</v>
      </c>
      <c r="N17" s="61">
        <v>21.5</v>
      </c>
      <c r="O17" s="62">
        <f t="shared" si="2"/>
        <v>15.38139534883721</v>
      </c>
      <c r="P17" s="61">
        <v>43.5</v>
      </c>
      <c r="Q17" s="61">
        <v>391.5</v>
      </c>
      <c r="R17" s="61">
        <v>46.6</v>
      </c>
      <c r="S17" s="26"/>
    </row>
    <row r="18" spans="1:19" ht="18.75">
      <c r="A18" s="40" t="s">
        <v>7</v>
      </c>
      <c r="B18" s="8">
        <v>1050300001</v>
      </c>
      <c r="C18" s="60">
        <v>180</v>
      </c>
      <c r="D18" s="61"/>
      <c r="E18" s="61">
        <f t="shared" si="6"/>
        <v>180</v>
      </c>
      <c r="F18" s="61">
        <f>5.4+5.6+52</f>
        <v>63</v>
      </c>
      <c r="G18" s="61">
        <v>413.3</v>
      </c>
      <c r="H18" s="61">
        <f t="shared" si="9"/>
        <v>425.5</v>
      </c>
      <c r="I18" s="62">
        <f t="shared" si="4"/>
        <v>2.363888888888889</v>
      </c>
      <c r="J18" s="62">
        <f t="shared" si="5"/>
        <v>6.753968253968254</v>
      </c>
      <c r="K18" s="61">
        <v>89.7</v>
      </c>
      <c r="L18" s="62">
        <f t="shared" si="1"/>
        <v>4.743589743589744</v>
      </c>
      <c r="M18" s="61">
        <v>12.2</v>
      </c>
      <c r="N18" s="61"/>
      <c r="O18" s="62">
        <f t="shared" si="2"/>
        <v>0</v>
      </c>
      <c r="P18" s="61"/>
      <c r="Q18" s="61">
        <v>1.8</v>
      </c>
      <c r="R18" s="61">
        <v>1.8</v>
      </c>
      <c r="S18" s="26"/>
    </row>
    <row r="19" spans="1:19" ht="18.75">
      <c r="A19" s="40" t="s">
        <v>96</v>
      </c>
      <c r="B19" s="8">
        <v>1050402002</v>
      </c>
      <c r="C19" s="60">
        <v>555</v>
      </c>
      <c r="D19" s="61"/>
      <c r="E19" s="61">
        <f t="shared" si="6"/>
        <v>555</v>
      </c>
      <c r="F19" s="61">
        <f>50+15+2.9+21</f>
        <v>88.9</v>
      </c>
      <c r="G19" s="61">
        <v>267.7</v>
      </c>
      <c r="H19" s="61">
        <f t="shared" si="9"/>
        <v>291.59999999999997</v>
      </c>
      <c r="I19" s="62">
        <f t="shared" si="4"/>
        <v>0.5254054054054054</v>
      </c>
      <c r="J19" s="62">
        <f t="shared" si="5"/>
        <v>3.2800899887514054</v>
      </c>
      <c r="K19" s="61">
        <v>286.2</v>
      </c>
      <c r="L19" s="62">
        <f t="shared" si="1"/>
        <v>1.0188679245283019</v>
      </c>
      <c r="M19" s="61">
        <v>23.9</v>
      </c>
      <c r="N19" s="61">
        <v>28.9</v>
      </c>
      <c r="O19" s="62">
        <f t="shared" si="2"/>
        <v>0.8269896193771626</v>
      </c>
      <c r="P19" s="61"/>
      <c r="Q19" s="61"/>
      <c r="R19" s="61">
        <v>0.7</v>
      </c>
      <c r="S19" s="26"/>
    </row>
    <row r="20" spans="1:19" ht="16.5" customHeight="1">
      <c r="A20" s="37" t="s">
        <v>57</v>
      </c>
      <c r="B20" s="38">
        <v>1060201002</v>
      </c>
      <c r="C20" s="58">
        <v>5263</v>
      </c>
      <c r="D20" s="63"/>
      <c r="E20" s="63">
        <f t="shared" si="6"/>
        <v>5263</v>
      </c>
      <c r="F20" s="63">
        <f>300+93+770+670+150</f>
        <v>1983</v>
      </c>
      <c r="G20" s="63">
        <v>2703.9</v>
      </c>
      <c r="H20" s="63">
        <f t="shared" si="9"/>
        <v>2722.8</v>
      </c>
      <c r="I20" s="59">
        <f t="shared" si="4"/>
        <v>0.5173475204256128</v>
      </c>
      <c r="J20" s="59">
        <f t="shared" si="5"/>
        <v>1.373071104387292</v>
      </c>
      <c r="K20" s="63">
        <v>2609.5</v>
      </c>
      <c r="L20" s="59">
        <f t="shared" si="1"/>
        <v>1.0434182793638629</v>
      </c>
      <c r="M20" s="63">
        <v>18.9</v>
      </c>
      <c r="N20" s="63">
        <v>-0.5</v>
      </c>
      <c r="O20" s="59">
        <f t="shared" si="2"/>
        <v>0</v>
      </c>
      <c r="P20" s="63"/>
      <c r="Q20" s="63"/>
      <c r="R20" s="63"/>
      <c r="S20" s="26"/>
    </row>
    <row r="21" spans="1:19" ht="18" customHeight="1">
      <c r="A21" s="37" t="s">
        <v>64</v>
      </c>
      <c r="B21" s="38">
        <v>1080000000</v>
      </c>
      <c r="C21" s="58">
        <v>600</v>
      </c>
      <c r="D21" s="63"/>
      <c r="E21" s="63">
        <f t="shared" si="6"/>
        <v>600</v>
      </c>
      <c r="F21" s="63">
        <f>75+34+90+90</f>
        <v>289</v>
      </c>
      <c r="G21" s="63">
        <v>246</v>
      </c>
      <c r="H21" s="63">
        <f t="shared" si="9"/>
        <v>311.4</v>
      </c>
      <c r="I21" s="59">
        <f t="shared" si="4"/>
        <v>0.519</v>
      </c>
      <c r="J21" s="59">
        <f t="shared" si="5"/>
        <v>1.077508650519031</v>
      </c>
      <c r="K21" s="63">
        <v>295.4</v>
      </c>
      <c r="L21" s="59">
        <f t="shared" si="1"/>
        <v>1.05416384563304</v>
      </c>
      <c r="M21" s="63">
        <v>65.4</v>
      </c>
      <c r="N21" s="63">
        <v>61.5</v>
      </c>
      <c r="O21" s="59">
        <f t="shared" si="2"/>
        <v>1.0634146341463415</v>
      </c>
      <c r="P21" s="63"/>
      <c r="Q21" s="63"/>
      <c r="R21" s="63"/>
      <c r="S21" s="26"/>
    </row>
    <row r="22" spans="1:19" ht="2.25" customHeight="1" hidden="1">
      <c r="A22" s="37" t="s">
        <v>56</v>
      </c>
      <c r="B22" s="38">
        <v>1090000000</v>
      </c>
      <c r="C22" s="58"/>
      <c r="D22" s="63"/>
      <c r="E22" s="63">
        <f t="shared" si="6"/>
        <v>0</v>
      </c>
      <c r="F22" s="63"/>
      <c r="G22" s="63"/>
      <c r="H22" s="63">
        <f t="shared" si="9"/>
        <v>0</v>
      </c>
      <c r="I22" s="59">
        <f t="shared" si="4"/>
        <v>0</v>
      </c>
      <c r="J22" s="59">
        <f t="shared" si="5"/>
        <v>0</v>
      </c>
      <c r="K22" s="63"/>
      <c r="L22" s="59">
        <f t="shared" si="1"/>
        <v>0</v>
      </c>
      <c r="M22" s="63"/>
      <c r="N22" s="63"/>
      <c r="O22" s="59">
        <f t="shared" si="2"/>
        <v>0</v>
      </c>
      <c r="P22" s="63"/>
      <c r="Q22" s="63"/>
      <c r="R22" s="63"/>
      <c r="S22" s="26"/>
    </row>
    <row r="23" spans="1:19" ht="18.75">
      <c r="A23" s="42" t="s">
        <v>22</v>
      </c>
      <c r="B23" s="43"/>
      <c r="C23" s="56">
        <f aca="true" t="shared" si="10" ref="C23:H23">C24+C31+C32+C36+C39+C40</f>
        <v>11264.4</v>
      </c>
      <c r="D23" s="56">
        <f t="shared" si="10"/>
        <v>13500</v>
      </c>
      <c r="E23" s="56">
        <f t="shared" si="10"/>
        <v>24764.4</v>
      </c>
      <c r="F23" s="56">
        <f t="shared" si="10"/>
        <v>7948.7</v>
      </c>
      <c r="G23" s="136">
        <f>G24+G31+G32+G36+G39+G40</f>
        <v>4531.1</v>
      </c>
      <c r="H23" s="56">
        <f t="shared" si="10"/>
        <v>5104.199999999999</v>
      </c>
      <c r="I23" s="57">
        <f t="shared" si="4"/>
        <v>0.20611038426127823</v>
      </c>
      <c r="J23" s="57">
        <f t="shared" si="5"/>
        <v>0.6421427403223168</v>
      </c>
      <c r="K23" s="136">
        <f>K24+K31+K32+K36+K39+K40</f>
        <v>8978.699999999999</v>
      </c>
      <c r="L23" s="57">
        <f t="shared" si="1"/>
        <v>0.5684787330014367</v>
      </c>
      <c r="M23" s="136">
        <f>M24+M31+M32+M36+M39+M40</f>
        <v>573.0999999999999</v>
      </c>
      <c r="N23" s="136">
        <f>N24+N31+N32+N36+N39+N40</f>
        <v>752.7000000000002</v>
      </c>
      <c r="O23" s="57">
        <f t="shared" si="2"/>
        <v>0.761392320977813</v>
      </c>
      <c r="P23" s="56">
        <f>P24+P30+P31+P35+P38+P39</f>
        <v>597.8</v>
      </c>
      <c r="Q23" s="56">
        <f>Q24+Q31+Q32+Q36+Q39+Q40</f>
        <v>719.9</v>
      </c>
      <c r="R23" s="56">
        <f>R24+R31+R32+R36+R39+R40</f>
        <v>671.8</v>
      </c>
      <c r="S23" s="26"/>
    </row>
    <row r="24" spans="1:19" ht="18.75">
      <c r="A24" s="44" t="s">
        <v>61</v>
      </c>
      <c r="B24" s="38">
        <v>1110000000</v>
      </c>
      <c r="C24" s="58">
        <f aca="true" t="shared" si="11" ref="C24:H24">SUM(C25:C30)</f>
        <v>2285.7</v>
      </c>
      <c r="D24" s="58">
        <f t="shared" si="11"/>
        <v>0</v>
      </c>
      <c r="E24" s="58">
        <f t="shared" si="11"/>
        <v>2285.7</v>
      </c>
      <c r="F24" s="58">
        <f t="shared" si="11"/>
        <v>2087.3</v>
      </c>
      <c r="G24" s="137">
        <f>SUM(G25:G30)</f>
        <v>1057.1</v>
      </c>
      <c r="H24" s="58">
        <f t="shared" si="11"/>
        <v>1318.8999999999999</v>
      </c>
      <c r="I24" s="59">
        <f t="shared" si="4"/>
        <v>0.5770223563897274</v>
      </c>
      <c r="J24" s="59">
        <f t="shared" si="5"/>
        <v>0.6318689215733243</v>
      </c>
      <c r="K24" s="137">
        <f>SUM(K25:K30)</f>
        <v>1217.8</v>
      </c>
      <c r="L24" s="59">
        <f t="shared" si="1"/>
        <v>1.0830185580555098</v>
      </c>
      <c r="M24" s="137">
        <f>SUM(M25:M30)</f>
        <v>261.8</v>
      </c>
      <c r="N24" s="137">
        <f>SUM(N25:N30)</f>
        <v>290.3</v>
      </c>
      <c r="O24" s="59">
        <f t="shared" si="2"/>
        <v>0.9018256975542542</v>
      </c>
      <c r="P24" s="58">
        <f>SUM(P25:P29)</f>
        <v>597.8</v>
      </c>
      <c r="Q24" s="58">
        <f>SUM(Q25:Q30)</f>
        <v>719.9</v>
      </c>
      <c r="R24" s="58">
        <f>SUM(R25:R30)</f>
        <v>671.8</v>
      </c>
      <c r="S24" s="26"/>
    </row>
    <row r="25" spans="1:19" ht="18.75" hidden="1">
      <c r="A25" s="8" t="s">
        <v>20</v>
      </c>
      <c r="B25" s="8">
        <v>1110105005</v>
      </c>
      <c r="C25" s="60"/>
      <c r="D25" s="61"/>
      <c r="E25" s="61">
        <f aca="true" t="shared" si="12" ref="E25:E31">C25+D25</f>
        <v>0</v>
      </c>
      <c r="F25" s="61"/>
      <c r="G25" s="138"/>
      <c r="H25" s="61">
        <f aca="true" t="shared" si="13" ref="H25:H31">G25+M25</f>
        <v>0</v>
      </c>
      <c r="I25" s="62">
        <f t="shared" si="4"/>
        <v>0</v>
      </c>
      <c r="J25" s="62">
        <f t="shared" si="5"/>
        <v>0</v>
      </c>
      <c r="K25" s="138"/>
      <c r="L25" s="62">
        <f t="shared" si="1"/>
        <v>0</v>
      </c>
      <c r="M25" s="138"/>
      <c r="N25" s="138"/>
      <c r="O25" s="62">
        <f t="shared" si="2"/>
        <v>0</v>
      </c>
      <c r="P25" s="61"/>
      <c r="Q25" s="61"/>
      <c r="R25" s="61"/>
      <c r="S25" s="26"/>
    </row>
    <row r="26" spans="1:19" ht="18.75">
      <c r="A26" s="8" t="s">
        <v>58</v>
      </c>
      <c r="B26" s="8">
        <v>1110501300</v>
      </c>
      <c r="C26" s="60">
        <v>1573.5</v>
      </c>
      <c r="D26" s="61"/>
      <c r="E26" s="61">
        <f t="shared" si="12"/>
        <v>1573.5</v>
      </c>
      <c r="F26" s="61">
        <f>60+420+420</f>
        <v>900</v>
      </c>
      <c r="G26" s="138">
        <v>629.4</v>
      </c>
      <c r="H26" s="61">
        <f t="shared" si="13"/>
        <v>823.9</v>
      </c>
      <c r="I26" s="62">
        <f t="shared" si="4"/>
        <v>0.5236097870988242</v>
      </c>
      <c r="J26" s="62">
        <f t="shared" si="5"/>
        <v>0.9154444444444444</v>
      </c>
      <c r="K26" s="138">
        <v>740.6</v>
      </c>
      <c r="L26" s="62">
        <f t="shared" si="1"/>
        <v>1.1124763705103968</v>
      </c>
      <c r="M26" s="138">
        <v>194.5</v>
      </c>
      <c r="N26" s="138">
        <v>208.1</v>
      </c>
      <c r="O26" s="62">
        <f t="shared" si="2"/>
        <v>0.9346468044209515</v>
      </c>
      <c r="P26" s="61">
        <f>95+181.3</f>
        <v>276.3</v>
      </c>
      <c r="Q26" s="61">
        <f>183+170.9</f>
        <v>353.9</v>
      </c>
      <c r="R26" s="61">
        <f>60.4+236.4</f>
        <v>296.8</v>
      </c>
      <c r="S26" s="26"/>
    </row>
    <row r="27" spans="1:19" ht="18.75">
      <c r="A27" s="8" t="s">
        <v>59</v>
      </c>
      <c r="B27" s="8">
        <v>1110502505</v>
      </c>
      <c r="C27" s="60">
        <v>12.2</v>
      </c>
      <c r="D27" s="61"/>
      <c r="E27" s="61">
        <f t="shared" si="12"/>
        <v>12.2</v>
      </c>
      <c r="F27" s="61"/>
      <c r="G27" s="138">
        <v>0.6</v>
      </c>
      <c r="H27" s="61">
        <f t="shared" si="13"/>
        <v>0.6</v>
      </c>
      <c r="I27" s="62">
        <f t="shared" si="4"/>
        <v>0.04918032786885246</v>
      </c>
      <c r="J27" s="62">
        <f t="shared" si="5"/>
        <v>0</v>
      </c>
      <c r="K27" s="138">
        <v>0</v>
      </c>
      <c r="L27" s="62">
        <f t="shared" si="1"/>
        <v>0</v>
      </c>
      <c r="M27" s="138"/>
      <c r="N27" s="138">
        <v>-1.7</v>
      </c>
      <c r="O27" s="62">
        <f t="shared" si="2"/>
        <v>0</v>
      </c>
      <c r="P27" s="61"/>
      <c r="Q27" s="61"/>
      <c r="R27" s="61"/>
      <c r="S27" s="26"/>
    </row>
    <row r="28" spans="1:19" ht="18.75">
      <c r="A28" s="178" t="s">
        <v>60</v>
      </c>
      <c r="B28" s="8">
        <v>1110503505</v>
      </c>
      <c r="C28" s="60">
        <v>688</v>
      </c>
      <c r="D28" s="61"/>
      <c r="E28" s="61">
        <f t="shared" si="12"/>
        <v>688</v>
      </c>
      <c r="F28" s="61">
        <f>250+140+365+165.3+267</f>
        <v>1187.3</v>
      </c>
      <c r="G28" s="138">
        <v>407.2</v>
      </c>
      <c r="H28" s="61">
        <f t="shared" si="13"/>
        <v>463.59999999999997</v>
      </c>
      <c r="I28" s="62">
        <f t="shared" si="4"/>
        <v>0.6738372093023255</v>
      </c>
      <c r="J28" s="62">
        <f t="shared" si="5"/>
        <v>0.3904657626547629</v>
      </c>
      <c r="K28" s="138">
        <v>472.7</v>
      </c>
      <c r="L28" s="62">
        <f t="shared" si="1"/>
        <v>0.9807488893590014</v>
      </c>
      <c r="M28" s="138">
        <v>56.4</v>
      </c>
      <c r="N28" s="138">
        <v>81.9</v>
      </c>
      <c r="O28" s="62">
        <f t="shared" si="2"/>
        <v>0.6886446886446885</v>
      </c>
      <c r="P28" s="61">
        <v>321.5</v>
      </c>
      <c r="Q28" s="61">
        <v>366</v>
      </c>
      <c r="R28" s="61">
        <v>375</v>
      </c>
      <c r="S28" s="26"/>
    </row>
    <row r="29" spans="1:19" ht="18.75">
      <c r="A29" s="8" t="s">
        <v>118</v>
      </c>
      <c r="B29" s="177">
        <v>1110507505</v>
      </c>
      <c r="C29" s="60">
        <v>12</v>
      </c>
      <c r="D29" s="61"/>
      <c r="E29" s="61">
        <f t="shared" si="12"/>
        <v>12</v>
      </c>
      <c r="F29" s="61"/>
      <c r="G29" s="138">
        <v>19.3</v>
      </c>
      <c r="H29" s="61">
        <f t="shared" si="13"/>
        <v>22.3</v>
      </c>
      <c r="I29" s="62">
        <f t="shared" si="4"/>
        <v>1.8583333333333334</v>
      </c>
      <c r="J29" s="62"/>
      <c r="K29" s="138"/>
      <c r="L29" s="62">
        <f t="shared" si="1"/>
        <v>0</v>
      </c>
      <c r="M29" s="138">
        <v>3</v>
      </c>
      <c r="N29" s="138"/>
      <c r="O29" s="62">
        <f t="shared" si="2"/>
        <v>0</v>
      </c>
      <c r="P29" s="61"/>
      <c r="Q29" s="61"/>
      <c r="R29" s="61"/>
      <c r="S29" s="26"/>
    </row>
    <row r="30" spans="1:19" ht="18.75">
      <c r="A30" s="8" t="s">
        <v>23</v>
      </c>
      <c r="B30" s="8">
        <v>1110904505</v>
      </c>
      <c r="C30" s="60"/>
      <c r="D30" s="61"/>
      <c r="E30" s="61">
        <f t="shared" si="12"/>
        <v>0</v>
      </c>
      <c r="F30" s="61"/>
      <c r="G30" s="138">
        <v>0.6</v>
      </c>
      <c r="H30" s="61">
        <f t="shared" si="13"/>
        <v>8.5</v>
      </c>
      <c r="I30" s="62">
        <f t="shared" si="4"/>
        <v>0</v>
      </c>
      <c r="J30" s="62">
        <f t="shared" si="5"/>
        <v>0</v>
      </c>
      <c r="K30" s="138">
        <v>4.5</v>
      </c>
      <c r="L30" s="62">
        <f t="shared" si="1"/>
        <v>1.8888888888888888</v>
      </c>
      <c r="M30" s="138">
        <v>7.9</v>
      </c>
      <c r="N30" s="138">
        <v>2</v>
      </c>
      <c r="O30" s="62">
        <f t="shared" si="2"/>
        <v>3.95</v>
      </c>
      <c r="P30" s="61"/>
      <c r="Q30" s="61"/>
      <c r="R30" s="61"/>
      <c r="S30" s="26"/>
    </row>
    <row r="31" spans="1:19" ht="18.75">
      <c r="A31" s="44" t="s">
        <v>65</v>
      </c>
      <c r="B31" s="38">
        <v>1120100000</v>
      </c>
      <c r="C31" s="58">
        <v>17.4</v>
      </c>
      <c r="D31" s="63"/>
      <c r="E31" s="63">
        <f t="shared" si="12"/>
        <v>17.4</v>
      </c>
      <c r="F31" s="63">
        <f>30+30+15</f>
        <v>75</v>
      </c>
      <c r="G31" s="139">
        <v>22.1</v>
      </c>
      <c r="H31" s="63">
        <f t="shared" si="13"/>
        <v>22.1</v>
      </c>
      <c r="I31" s="59">
        <f t="shared" si="4"/>
        <v>1.270114942528736</v>
      </c>
      <c r="J31" s="59">
        <f t="shared" si="5"/>
        <v>0.2946666666666667</v>
      </c>
      <c r="K31" s="139">
        <v>16.3</v>
      </c>
      <c r="L31" s="59">
        <f t="shared" si="1"/>
        <v>1.3558282208588956</v>
      </c>
      <c r="M31" s="139"/>
      <c r="N31" s="139">
        <v>0.2</v>
      </c>
      <c r="O31" s="59">
        <f t="shared" si="2"/>
        <v>0</v>
      </c>
      <c r="P31" s="63"/>
      <c r="Q31" s="63"/>
      <c r="R31" s="63"/>
      <c r="S31" s="26"/>
    </row>
    <row r="32" spans="1:19" ht="18.75">
      <c r="A32" s="44" t="s">
        <v>66</v>
      </c>
      <c r="B32" s="38">
        <v>1130000000</v>
      </c>
      <c r="C32" s="58">
        <f aca="true" t="shared" si="14" ref="C32:H32">SUM(C33:C35)</f>
        <v>8920</v>
      </c>
      <c r="D32" s="58">
        <f t="shared" si="14"/>
        <v>0</v>
      </c>
      <c r="E32" s="58">
        <f t="shared" si="14"/>
        <v>8920</v>
      </c>
      <c r="F32" s="58">
        <f t="shared" si="14"/>
        <v>5703.4</v>
      </c>
      <c r="G32" s="137">
        <f>SUM(G33:G35)</f>
        <v>3170.9</v>
      </c>
      <c r="H32" s="58">
        <f t="shared" si="14"/>
        <v>3469.7</v>
      </c>
      <c r="I32" s="59">
        <f t="shared" si="4"/>
        <v>0.3889798206278027</v>
      </c>
      <c r="J32" s="59">
        <f t="shared" si="5"/>
        <v>0.6083564189781534</v>
      </c>
      <c r="K32" s="137">
        <f>SUM(K33:K35)</f>
        <v>5016.9</v>
      </c>
      <c r="L32" s="59">
        <f t="shared" si="1"/>
        <v>0.6916023839422751</v>
      </c>
      <c r="M32" s="137">
        <f>SUM(M33:M35)</f>
        <v>298.79999999999995</v>
      </c>
      <c r="N32" s="137">
        <f>SUM(N33:N35)</f>
        <v>410.7</v>
      </c>
      <c r="O32" s="59">
        <f t="shared" si="2"/>
        <v>0.7275383491599707</v>
      </c>
      <c r="P32" s="58">
        <f>SUM(P33:P35)</f>
        <v>0</v>
      </c>
      <c r="Q32" s="58">
        <f>SUM(Q33:Q35)</f>
        <v>0</v>
      </c>
      <c r="R32" s="58">
        <f>SUM(R33:R35)</f>
        <v>0</v>
      </c>
      <c r="S32" s="26"/>
    </row>
    <row r="33" spans="1:19" ht="18.75">
      <c r="A33" s="45" t="s">
        <v>34</v>
      </c>
      <c r="B33" s="45">
        <v>1130199505</v>
      </c>
      <c r="C33" s="60">
        <v>8400</v>
      </c>
      <c r="D33" s="61"/>
      <c r="E33" s="61">
        <f>C33+D33</f>
        <v>8400</v>
      </c>
      <c r="F33" s="61">
        <f>1963.4+1945+1295</f>
        <v>5203.4</v>
      </c>
      <c r="G33" s="138">
        <v>1963.9</v>
      </c>
      <c r="H33" s="61">
        <f>G33+M33</f>
        <v>2101</v>
      </c>
      <c r="I33" s="62">
        <f t="shared" si="4"/>
        <v>0.25011904761904763</v>
      </c>
      <c r="J33" s="62">
        <f t="shared" si="5"/>
        <v>0.4037744551639313</v>
      </c>
      <c r="K33" s="138">
        <v>4172.2</v>
      </c>
      <c r="L33" s="62">
        <f t="shared" si="1"/>
        <v>0.5035712573702124</v>
      </c>
      <c r="M33" s="138">
        <v>137.1</v>
      </c>
      <c r="N33" s="138">
        <v>395.5</v>
      </c>
      <c r="O33" s="62">
        <f t="shared" si="2"/>
        <v>0.3466498103666245</v>
      </c>
      <c r="P33" s="61"/>
      <c r="Q33" s="61"/>
      <c r="R33" s="61"/>
      <c r="S33" s="26"/>
    </row>
    <row r="34" spans="1:19" ht="18.75">
      <c r="A34" s="45" t="s">
        <v>35</v>
      </c>
      <c r="B34" s="45">
        <v>1130206505</v>
      </c>
      <c r="C34" s="60">
        <v>520</v>
      </c>
      <c r="D34" s="61"/>
      <c r="E34" s="61">
        <f>C34+D34</f>
        <v>520</v>
      </c>
      <c r="F34" s="61">
        <f>240+165+95</f>
        <v>500</v>
      </c>
      <c r="G34" s="138">
        <v>125</v>
      </c>
      <c r="H34" s="61">
        <f>G34+M34</f>
        <v>141.2</v>
      </c>
      <c r="I34" s="62">
        <f t="shared" si="4"/>
        <v>0.2715384615384615</v>
      </c>
      <c r="J34" s="62">
        <f t="shared" si="5"/>
        <v>0.2824</v>
      </c>
      <c r="K34" s="138">
        <v>261.5</v>
      </c>
      <c r="L34" s="62">
        <f t="shared" si="1"/>
        <v>0.5399617590822179</v>
      </c>
      <c r="M34" s="138">
        <v>16.2</v>
      </c>
      <c r="N34" s="138">
        <v>14.2</v>
      </c>
      <c r="O34" s="62">
        <f t="shared" si="2"/>
        <v>1.1408450704225352</v>
      </c>
      <c r="P34" s="61"/>
      <c r="Q34" s="61"/>
      <c r="R34" s="61"/>
      <c r="S34" s="26"/>
    </row>
    <row r="35" spans="1:19" ht="18.75">
      <c r="A35" s="45" t="s">
        <v>62</v>
      </c>
      <c r="B35" s="45">
        <v>1130299505</v>
      </c>
      <c r="C35" s="60"/>
      <c r="D35" s="61"/>
      <c r="E35" s="61">
        <f>C35+D35</f>
        <v>0</v>
      </c>
      <c r="F35" s="61"/>
      <c r="G35" s="138">
        <v>1082</v>
      </c>
      <c r="H35" s="61">
        <f>G35+M35</f>
        <v>1227.5</v>
      </c>
      <c r="I35" s="62">
        <f t="shared" si="4"/>
        <v>0</v>
      </c>
      <c r="J35" s="62">
        <f t="shared" si="5"/>
        <v>0</v>
      </c>
      <c r="K35" s="138">
        <v>583.2</v>
      </c>
      <c r="L35" s="62">
        <f t="shared" si="1"/>
        <v>2.1047668038408776</v>
      </c>
      <c r="M35" s="138">
        <v>145.5</v>
      </c>
      <c r="N35" s="138">
        <v>1</v>
      </c>
      <c r="O35" s="62">
        <f t="shared" si="2"/>
        <v>145.5</v>
      </c>
      <c r="P35" s="61"/>
      <c r="Q35" s="61"/>
      <c r="R35" s="61"/>
      <c r="S35" s="26"/>
    </row>
    <row r="36" spans="1:19" ht="18.75">
      <c r="A36" s="44" t="s">
        <v>67</v>
      </c>
      <c r="B36" s="38">
        <v>1140000000</v>
      </c>
      <c r="C36" s="58">
        <f aca="true" t="shared" si="15" ref="C36:H36">SUM(C37:C38)</f>
        <v>6.3</v>
      </c>
      <c r="D36" s="58">
        <f t="shared" si="15"/>
        <v>13500</v>
      </c>
      <c r="E36" s="58">
        <f t="shared" si="15"/>
        <v>13506.3</v>
      </c>
      <c r="F36" s="58">
        <f t="shared" si="15"/>
        <v>0</v>
      </c>
      <c r="G36" s="137">
        <f>G37+G38</f>
        <v>4.7</v>
      </c>
      <c r="H36" s="58">
        <f t="shared" si="15"/>
        <v>4.7</v>
      </c>
      <c r="I36" s="59">
        <f t="shared" si="4"/>
        <v>0.0003479857547959101</v>
      </c>
      <c r="J36" s="59">
        <f t="shared" si="5"/>
        <v>0</v>
      </c>
      <c r="K36" s="137">
        <f>K37+K38</f>
        <v>37.3</v>
      </c>
      <c r="L36" s="59">
        <f t="shared" si="1"/>
        <v>0.1260053619302949</v>
      </c>
      <c r="M36" s="137">
        <f>M37+M38</f>
        <v>0</v>
      </c>
      <c r="N36" s="137">
        <f>N37+N38</f>
        <v>21.1</v>
      </c>
      <c r="O36" s="59">
        <f>IF(N36&gt;0,M36/N36,0)</f>
        <v>0</v>
      </c>
      <c r="P36" s="58">
        <f>SUM(P37:P38)</f>
        <v>0</v>
      </c>
      <c r="Q36" s="58">
        <f>SUM(Q37:Q38)</f>
        <v>0</v>
      </c>
      <c r="R36" s="58">
        <f>SUM(R37:R38)</f>
        <v>0</v>
      </c>
      <c r="S36" s="26"/>
    </row>
    <row r="37" spans="1:19" ht="18.75">
      <c r="A37" s="8" t="s">
        <v>31</v>
      </c>
      <c r="B37" s="8">
        <v>1140205205</v>
      </c>
      <c r="C37" s="60"/>
      <c r="D37" s="61">
        <v>13500</v>
      </c>
      <c r="E37" s="61">
        <f>C37+D37</f>
        <v>13500</v>
      </c>
      <c r="F37" s="61"/>
      <c r="G37" s="138"/>
      <c r="H37" s="61">
        <f>G37+M37</f>
        <v>0</v>
      </c>
      <c r="I37" s="62">
        <f t="shared" si="4"/>
        <v>0</v>
      </c>
      <c r="J37" s="62">
        <f t="shared" si="5"/>
        <v>0</v>
      </c>
      <c r="K37" s="138">
        <v>9.3</v>
      </c>
      <c r="L37" s="62">
        <f t="shared" si="1"/>
        <v>0</v>
      </c>
      <c r="M37" s="138"/>
      <c r="N37" s="138"/>
      <c r="O37" s="62">
        <f>IF(N37&gt;0,M37/N37,0)</f>
        <v>0</v>
      </c>
      <c r="P37" s="61"/>
      <c r="Q37" s="61"/>
      <c r="R37" s="61"/>
      <c r="S37" s="26"/>
    </row>
    <row r="38" spans="1:19" ht="18.75">
      <c r="A38" s="8" t="s">
        <v>32</v>
      </c>
      <c r="B38" s="8">
        <v>1140600000</v>
      </c>
      <c r="C38" s="60">
        <v>6.3</v>
      </c>
      <c r="D38" s="61"/>
      <c r="E38" s="61">
        <f>C38+D38</f>
        <v>6.3</v>
      </c>
      <c r="F38" s="61"/>
      <c r="G38" s="138">
        <v>4.7</v>
      </c>
      <c r="H38" s="61">
        <f>G38+M38</f>
        <v>4.7</v>
      </c>
      <c r="I38" s="62">
        <f t="shared" si="4"/>
        <v>0.746031746031746</v>
      </c>
      <c r="J38" s="62">
        <f t="shared" si="5"/>
        <v>0</v>
      </c>
      <c r="K38" s="138">
        <v>28</v>
      </c>
      <c r="L38" s="62">
        <f t="shared" si="1"/>
        <v>0.16785714285714287</v>
      </c>
      <c r="M38" s="138"/>
      <c r="N38" s="138">
        <v>21.1</v>
      </c>
      <c r="O38" s="62">
        <f t="shared" si="2"/>
        <v>0</v>
      </c>
      <c r="P38" s="61"/>
      <c r="Q38" s="61"/>
      <c r="R38" s="61"/>
      <c r="S38" s="26"/>
    </row>
    <row r="39" spans="1:19" ht="18.75">
      <c r="A39" s="44" t="s">
        <v>68</v>
      </c>
      <c r="B39" s="38">
        <v>1160000000</v>
      </c>
      <c r="C39" s="58">
        <v>35</v>
      </c>
      <c r="D39" s="63"/>
      <c r="E39" s="63">
        <f>C39+D39</f>
        <v>35</v>
      </c>
      <c r="F39" s="63">
        <f>38+45</f>
        <v>83</v>
      </c>
      <c r="G39" s="139">
        <v>271.3</v>
      </c>
      <c r="H39" s="63">
        <f>G39+M39</f>
        <v>288.40000000000003</v>
      </c>
      <c r="I39" s="59">
        <f t="shared" si="4"/>
        <v>8.24</v>
      </c>
      <c r="J39" s="59">
        <f t="shared" si="5"/>
        <v>3.474698795180723</v>
      </c>
      <c r="K39" s="139">
        <v>2687.6</v>
      </c>
      <c r="L39" s="59">
        <f t="shared" si="1"/>
        <v>0.1073076350647418</v>
      </c>
      <c r="M39" s="139">
        <v>17.1</v>
      </c>
      <c r="N39" s="139">
        <v>27.7</v>
      </c>
      <c r="O39" s="59">
        <f t="shared" si="2"/>
        <v>0.6173285198555958</v>
      </c>
      <c r="P39" s="63"/>
      <c r="Q39" s="63"/>
      <c r="R39" s="63"/>
      <c r="S39" s="26"/>
    </row>
    <row r="40" spans="1:19" ht="18.75">
      <c r="A40" s="44" t="s">
        <v>69</v>
      </c>
      <c r="B40" s="38">
        <v>1170000000</v>
      </c>
      <c r="C40" s="58">
        <f aca="true" t="shared" si="16" ref="C40:H40">SUM(C41:C42)</f>
        <v>0</v>
      </c>
      <c r="D40" s="58">
        <f t="shared" si="16"/>
        <v>0</v>
      </c>
      <c r="E40" s="58">
        <f t="shared" si="16"/>
        <v>0</v>
      </c>
      <c r="F40" s="58">
        <f t="shared" si="16"/>
        <v>0</v>
      </c>
      <c r="G40" s="58">
        <f>SUM(G41:G42)</f>
        <v>5</v>
      </c>
      <c r="H40" s="58">
        <f t="shared" si="16"/>
        <v>0.40000000000000036</v>
      </c>
      <c r="I40" s="59">
        <f t="shared" si="4"/>
        <v>0</v>
      </c>
      <c r="J40" s="59">
        <f t="shared" si="5"/>
        <v>0</v>
      </c>
      <c r="K40" s="58">
        <f>SUM(K41:K42)</f>
        <v>2.8</v>
      </c>
      <c r="L40" s="59">
        <f t="shared" si="1"/>
        <v>0.142857142857143</v>
      </c>
      <c r="M40" s="58">
        <f>SUM(M41:M42)</f>
        <v>-4.6</v>
      </c>
      <c r="N40" s="58">
        <f>SUM(N41:N42)</f>
        <v>2.7</v>
      </c>
      <c r="O40" s="59">
        <f t="shared" si="2"/>
        <v>-1.7037037037037035</v>
      </c>
      <c r="P40" s="58">
        <f>SUM(P41:P42)</f>
        <v>0</v>
      </c>
      <c r="Q40" s="58">
        <f>SUM(Q41:Q42)</f>
        <v>0</v>
      </c>
      <c r="R40" s="58">
        <f>SUM(R41:R42)</f>
        <v>0</v>
      </c>
      <c r="S40" s="26"/>
    </row>
    <row r="41" spans="1:19" ht="18.75">
      <c r="A41" s="8" t="s">
        <v>8</v>
      </c>
      <c r="B41" s="8">
        <v>1170105005</v>
      </c>
      <c r="C41" s="60"/>
      <c r="D41" s="61"/>
      <c r="E41" s="61">
        <f>C41+D41</f>
        <v>0</v>
      </c>
      <c r="F41" s="61"/>
      <c r="G41" s="138">
        <v>5</v>
      </c>
      <c r="H41" s="61">
        <f>G41+M41</f>
        <v>0.40000000000000036</v>
      </c>
      <c r="I41" s="62">
        <f t="shared" si="4"/>
        <v>0</v>
      </c>
      <c r="J41" s="62">
        <f t="shared" si="5"/>
        <v>0</v>
      </c>
      <c r="K41" s="138">
        <v>2.8</v>
      </c>
      <c r="L41" s="62">
        <f t="shared" si="1"/>
        <v>0.142857142857143</v>
      </c>
      <c r="M41" s="138">
        <v>-4.6</v>
      </c>
      <c r="N41" s="138">
        <v>2.7</v>
      </c>
      <c r="O41" s="62">
        <f t="shared" si="2"/>
        <v>-1.7037037037037035</v>
      </c>
      <c r="P41" s="61"/>
      <c r="Q41" s="61"/>
      <c r="R41" s="61"/>
      <c r="S41" s="26"/>
    </row>
    <row r="42" spans="1:19" ht="18.75">
      <c r="A42" s="8" t="s">
        <v>14</v>
      </c>
      <c r="B42" s="8">
        <v>1170505005</v>
      </c>
      <c r="C42" s="60"/>
      <c r="D42" s="61"/>
      <c r="E42" s="61">
        <f>C42+D42</f>
        <v>0</v>
      </c>
      <c r="F42" s="61"/>
      <c r="G42" s="138"/>
      <c r="H42" s="61">
        <f>G42+M42</f>
        <v>0</v>
      </c>
      <c r="I42" s="62">
        <f t="shared" si="4"/>
        <v>0</v>
      </c>
      <c r="J42" s="62">
        <f t="shared" si="5"/>
        <v>0</v>
      </c>
      <c r="K42" s="138"/>
      <c r="L42" s="62">
        <f t="shared" si="1"/>
        <v>0</v>
      </c>
      <c r="M42" s="138"/>
      <c r="N42" s="138"/>
      <c r="O42" s="62">
        <f t="shared" si="2"/>
        <v>0</v>
      </c>
      <c r="P42" s="61"/>
      <c r="Q42" s="61"/>
      <c r="R42" s="61"/>
      <c r="S42" s="26"/>
    </row>
    <row r="43" spans="1:20" ht="18.75" customHeight="1">
      <c r="A43" s="43" t="s">
        <v>89</v>
      </c>
      <c r="B43" s="43">
        <v>1000000000</v>
      </c>
      <c r="C43" s="56">
        <f aca="true" t="shared" si="17" ref="C43:H43">C4+C23</f>
        <v>72189.9</v>
      </c>
      <c r="D43" s="56">
        <f t="shared" si="17"/>
        <v>10160.3</v>
      </c>
      <c r="E43" s="56">
        <f t="shared" si="17"/>
        <v>82350.2</v>
      </c>
      <c r="F43" s="56">
        <f t="shared" si="17"/>
        <v>36236.4</v>
      </c>
      <c r="G43" s="56">
        <f>G4+G23</f>
        <v>28427.1</v>
      </c>
      <c r="H43" s="121">
        <f t="shared" si="17"/>
        <v>32518.9</v>
      </c>
      <c r="I43" s="57">
        <f t="shared" si="4"/>
        <v>0.3948855011888253</v>
      </c>
      <c r="J43" s="57">
        <f t="shared" si="5"/>
        <v>0.8974097868441677</v>
      </c>
      <c r="K43" s="56">
        <f>K4+K23</f>
        <v>40208.1</v>
      </c>
      <c r="L43" s="57">
        <f t="shared" si="1"/>
        <v>0.8087649006046046</v>
      </c>
      <c r="M43" s="56">
        <f>M4+M23</f>
        <v>4091.8000000000006</v>
      </c>
      <c r="N43" s="121">
        <f>N4+N23</f>
        <v>3343.5</v>
      </c>
      <c r="O43" s="57">
        <f t="shared" si="2"/>
        <v>1.223807387468222</v>
      </c>
      <c r="P43" s="56">
        <f>P4+P23</f>
        <v>1027.8</v>
      </c>
      <c r="Q43" s="56">
        <f>Q4+Q23</f>
        <v>3848.1</v>
      </c>
      <c r="R43" s="56">
        <f>R4+R23</f>
        <v>2543.2</v>
      </c>
      <c r="S43" s="159"/>
      <c r="T43" s="158"/>
    </row>
    <row r="44" spans="1:20" ht="18.75" customHeight="1">
      <c r="A44" s="43" t="s">
        <v>91</v>
      </c>
      <c r="B44" s="43"/>
      <c r="C44" s="56">
        <f>C43-C9-8300</f>
        <v>55601.09999999999</v>
      </c>
      <c r="D44" s="56">
        <f>D43-D9</f>
        <v>10160.3</v>
      </c>
      <c r="E44" s="56">
        <f>C44+D44</f>
        <v>65761.4</v>
      </c>
      <c r="F44" s="56">
        <f>F43-F9-1728.4-1750</f>
        <v>27993</v>
      </c>
      <c r="G44" s="56">
        <f>G43-G9-1937.7</f>
        <v>23616.6</v>
      </c>
      <c r="H44" s="121">
        <f>G44+M44</f>
        <v>27082</v>
      </c>
      <c r="I44" s="57">
        <f>IF(E44&gt;0,H44/E44,0)</f>
        <v>0.41182213274048307</v>
      </c>
      <c r="J44" s="57">
        <f>IF(F44&gt;0,H44/F44,0)</f>
        <v>0.9674561497517237</v>
      </c>
      <c r="K44" s="56">
        <f>K43-K10-3652.1</f>
        <v>34831.9</v>
      </c>
      <c r="L44" s="57">
        <f t="shared" si="1"/>
        <v>0.7775056772671028</v>
      </c>
      <c r="M44" s="56">
        <f>M43-M9-128.3</f>
        <v>3465.4000000000005</v>
      </c>
      <c r="N44" s="56">
        <f>N43-N10-627.7</f>
        <v>2440.8999999999996</v>
      </c>
      <c r="O44" s="57">
        <f t="shared" si="2"/>
        <v>1.4197222336023603</v>
      </c>
      <c r="P44" s="56"/>
      <c r="Q44" s="56"/>
      <c r="R44" s="56"/>
      <c r="S44" s="167"/>
      <c r="T44" s="167"/>
    </row>
    <row r="45" spans="1:19" ht="18.75">
      <c r="A45" s="8" t="s">
        <v>36</v>
      </c>
      <c r="B45" s="8">
        <v>2000000000</v>
      </c>
      <c r="C45" s="60">
        <v>200344.16</v>
      </c>
      <c r="D45" s="131">
        <f>961+4151.63-558.44+5192.7</f>
        <v>9746.89</v>
      </c>
      <c r="E45" s="131">
        <f>C45+D45</f>
        <v>210091.05</v>
      </c>
      <c r="F45" s="61">
        <f>34850.65+571.1+470.1+38803.34</f>
        <v>74695.19</v>
      </c>
      <c r="G45" s="61">
        <v>82090.8</v>
      </c>
      <c r="H45" s="61">
        <f>G45+M45</f>
        <v>106917.8</v>
      </c>
      <c r="I45" s="62">
        <f t="shared" si="4"/>
        <v>0.5089117313659959</v>
      </c>
      <c r="J45" s="62">
        <f t="shared" si="5"/>
        <v>1.4313880184252827</v>
      </c>
      <c r="K45" s="61">
        <v>92572.7</v>
      </c>
      <c r="L45" s="62">
        <f t="shared" si="1"/>
        <v>1.154960371686253</v>
      </c>
      <c r="M45" s="61">
        <v>24827</v>
      </c>
      <c r="N45" s="61">
        <v>17954.1</v>
      </c>
      <c r="O45" s="62">
        <f t="shared" si="2"/>
        <v>1.3828039277936517</v>
      </c>
      <c r="P45" s="61"/>
      <c r="Q45" s="61"/>
      <c r="R45" s="61"/>
      <c r="S45" s="162"/>
    </row>
    <row r="46" spans="1:18" ht="18.75">
      <c r="A46" s="8" t="s">
        <v>46</v>
      </c>
      <c r="B46" s="46" t="s">
        <v>37</v>
      </c>
      <c r="C46" s="60"/>
      <c r="D46" s="61">
        <f>148.2+47</f>
        <v>195.2</v>
      </c>
      <c r="E46" s="61">
        <f>C46+D46</f>
        <v>195.2</v>
      </c>
      <c r="F46" s="61"/>
      <c r="G46" s="61">
        <v>125.1</v>
      </c>
      <c r="H46" s="61">
        <f>G46+M46</f>
        <v>125.1</v>
      </c>
      <c r="I46" s="62">
        <f t="shared" si="4"/>
        <v>0.6408811475409836</v>
      </c>
      <c r="J46" s="62">
        <f t="shared" si="5"/>
        <v>0</v>
      </c>
      <c r="K46" s="61">
        <v>731.1</v>
      </c>
      <c r="L46" s="62">
        <f t="shared" si="1"/>
        <v>0.17111202297907263</v>
      </c>
      <c r="M46" s="61"/>
      <c r="N46" s="61">
        <v>-0.5</v>
      </c>
      <c r="O46" s="62">
        <f t="shared" si="2"/>
        <v>0</v>
      </c>
      <c r="P46" s="61"/>
      <c r="Q46" s="61"/>
      <c r="R46" s="61"/>
    </row>
    <row r="47" spans="1:18" ht="18.75">
      <c r="A47" s="8" t="s">
        <v>108</v>
      </c>
      <c r="B47" s="46" t="s">
        <v>109</v>
      </c>
      <c r="C47" s="60"/>
      <c r="D47" s="61"/>
      <c r="E47" s="61">
        <f>C47+D47</f>
        <v>0</v>
      </c>
      <c r="F47" s="61"/>
      <c r="G47" s="61"/>
      <c r="H47" s="61">
        <f>G47+M47</f>
        <v>0</v>
      </c>
      <c r="I47" s="62">
        <f t="shared" si="4"/>
        <v>0</v>
      </c>
      <c r="J47" s="62"/>
      <c r="K47" s="61"/>
      <c r="L47" s="62">
        <f t="shared" si="1"/>
        <v>0</v>
      </c>
      <c r="M47" s="61"/>
      <c r="N47" s="61"/>
      <c r="O47" s="62"/>
      <c r="P47" s="61"/>
      <c r="Q47" s="61"/>
      <c r="R47" s="61"/>
    </row>
    <row r="48" spans="1:18" ht="18.75">
      <c r="A48" s="8" t="s">
        <v>93</v>
      </c>
      <c r="B48" s="46" t="s">
        <v>110</v>
      </c>
      <c r="C48" s="60"/>
      <c r="D48" s="131">
        <f>-1.45</f>
        <v>-1.45</v>
      </c>
      <c r="E48" s="131">
        <f>C48+D48</f>
        <v>-1.45</v>
      </c>
      <c r="F48" s="61"/>
      <c r="G48" s="61">
        <v>-120.6</v>
      </c>
      <c r="H48" s="61">
        <f>G48+M48</f>
        <v>-120.6</v>
      </c>
      <c r="I48" s="62">
        <f t="shared" si="4"/>
        <v>0</v>
      </c>
      <c r="J48" s="62"/>
      <c r="K48" s="61">
        <v>-3116.5</v>
      </c>
      <c r="L48" s="62">
        <f t="shared" si="1"/>
        <v>0</v>
      </c>
      <c r="M48" s="61"/>
      <c r="N48" s="61"/>
      <c r="O48" s="62">
        <f t="shared" si="2"/>
        <v>0</v>
      </c>
      <c r="P48" s="61"/>
      <c r="Q48" s="61"/>
      <c r="R48" s="61"/>
    </row>
    <row r="49" spans="1:19" ht="18.75">
      <c r="A49" s="43" t="s">
        <v>2</v>
      </c>
      <c r="B49" s="43">
        <v>0</v>
      </c>
      <c r="C49" s="163">
        <f>C43+C45+C46</f>
        <v>272534.06</v>
      </c>
      <c r="D49" s="163">
        <f>D43+D45+D46+D47+D48</f>
        <v>20100.94</v>
      </c>
      <c r="E49" s="163">
        <f>E43+E45+E46+E47+E48</f>
        <v>292635</v>
      </c>
      <c r="F49" s="121">
        <f>F43+F45+F46</f>
        <v>110931.59</v>
      </c>
      <c r="G49" s="121">
        <f>G43+G45+G46+G47+G48</f>
        <v>110522.4</v>
      </c>
      <c r="H49" s="121">
        <f>H43+H45+H46+H48+H47</f>
        <v>139441.2</v>
      </c>
      <c r="I49" s="57">
        <f t="shared" si="4"/>
        <v>0.47650212722333285</v>
      </c>
      <c r="J49" s="57">
        <f t="shared" si="5"/>
        <v>1.257001725117255</v>
      </c>
      <c r="K49" s="121">
        <f>K43+K45+K46+K48+K47</f>
        <v>130395.4</v>
      </c>
      <c r="L49" s="57">
        <f t="shared" si="1"/>
        <v>1.0693720790764092</v>
      </c>
      <c r="M49" s="121">
        <f>M43+M45+M46+M48+M47</f>
        <v>28918.8</v>
      </c>
      <c r="N49" s="121">
        <f>N43+N45+N46+N48+N47</f>
        <v>21297.1</v>
      </c>
      <c r="O49" s="57">
        <f t="shared" si="2"/>
        <v>1.3578750158472281</v>
      </c>
      <c r="P49" s="56">
        <f>P43+P45+P46</f>
        <v>1027.8</v>
      </c>
      <c r="Q49" s="56">
        <f>Q43+Q45+Q46</f>
        <v>3848.1</v>
      </c>
      <c r="R49" s="56">
        <f>R43+R45+R46</f>
        <v>2543.2</v>
      </c>
      <c r="S49" s="140"/>
    </row>
    <row r="50" spans="1:19" ht="19.5" customHeight="1">
      <c r="A50" s="3"/>
      <c r="B50" s="3"/>
      <c r="C50" s="3"/>
      <c r="S50" s="168"/>
    </row>
    <row r="51" spans="1:8" ht="20.25">
      <c r="A51" s="3"/>
      <c r="B51" s="3"/>
      <c r="C51" s="3"/>
      <c r="E51" s="140"/>
      <c r="G51" s="132"/>
      <c r="H51" s="140"/>
    </row>
    <row r="52" spans="1:3" ht="12.75">
      <c r="A52" s="3"/>
      <c r="B52" s="3"/>
      <c r="C52" s="3"/>
    </row>
    <row r="53" spans="1:8" ht="12.75">
      <c r="A53" s="3"/>
      <c r="B53" s="3"/>
      <c r="C53" s="3"/>
      <c r="H53" s="140"/>
    </row>
  </sheetData>
  <sheetProtection/>
  <mergeCells count="14">
    <mergeCell ref="P2:R2"/>
    <mergeCell ref="K2:L2"/>
    <mergeCell ref="M2:M3"/>
    <mergeCell ref="N2:N3"/>
    <mergeCell ref="O2:O3"/>
    <mergeCell ref="A1:M1"/>
    <mergeCell ref="A2:A3"/>
    <mergeCell ref="B2:B3"/>
    <mergeCell ref="C2:C3"/>
    <mergeCell ref="D2:D3"/>
    <mergeCell ref="E2:E3"/>
    <mergeCell ref="F2:F3"/>
    <mergeCell ref="G2:G3"/>
    <mergeCell ref="H2:J2"/>
  </mergeCells>
  <printOptions horizontalCentered="1"/>
  <pageMargins left="0.3937007874015748" right="0.1968503937007874" top="0.22" bottom="0.19" header="0.5118110236220472" footer="0.5118110236220472"/>
  <pageSetup fitToHeight="1" fitToWidth="1" horizontalDpi="600" verticalDpi="600" orientation="landscape" paperSize="9" scale="55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zoomScalePageLayoutView="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21" sqref="R21"/>
    </sheetView>
  </sheetViews>
  <sheetFormatPr defaultColWidth="9.00390625" defaultRowHeight="12.75"/>
  <cols>
    <col min="1" max="1" width="43.75390625" style="0" customWidth="1"/>
    <col min="2" max="2" width="14.375" style="0" customWidth="1"/>
    <col min="3" max="3" width="14.25390625" style="0" customWidth="1"/>
    <col min="4" max="4" width="15.75390625" style="0" customWidth="1"/>
    <col min="5" max="5" width="15.125" style="0" customWidth="1"/>
    <col min="6" max="6" width="10.75390625" style="0" hidden="1" customWidth="1"/>
    <col min="7" max="7" width="11.875" style="0" customWidth="1"/>
    <col min="8" max="8" width="12.125" style="0" customWidth="1"/>
    <col min="9" max="9" width="13.875" style="0" customWidth="1"/>
    <col min="10" max="10" width="0.12890625" style="0" customWidth="1"/>
    <col min="11" max="11" width="11.375" style="0" customWidth="1"/>
    <col min="12" max="12" width="14.00390625" style="0" customWidth="1"/>
    <col min="13" max="13" width="12.25390625" style="0" customWidth="1"/>
    <col min="14" max="14" width="10.625" style="0" customWidth="1"/>
    <col min="15" max="15" width="13.625" style="0" customWidth="1"/>
    <col min="16" max="17" width="9.875" style="0" customWidth="1"/>
    <col min="18" max="18" width="11.00390625" style="0" customWidth="1"/>
    <col min="19" max="20" width="9.125" style="0" hidden="1" customWidth="1"/>
    <col min="21" max="21" width="0.12890625" style="0" hidden="1" customWidth="1"/>
    <col min="22" max="22" width="11.25390625" style="0" customWidth="1"/>
  </cols>
  <sheetData>
    <row r="1" spans="1:18" ht="15.75">
      <c r="A1" s="26"/>
      <c r="B1" s="48"/>
      <c r="C1" s="186" t="s">
        <v>11</v>
      </c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50"/>
      <c r="P1" s="26"/>
      <c r="Q1" s="26"/>
      <c r="R1" s="26"/>
    </row>
    <row r="2" spans="1:18" ht="15.75">
      <c r="A2" s="26"/>
      <c r="B2" s="187" t="s">
        <v>125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</row>
    <row r="3" spans="1:18" ht="13.5" customHeight="1" thickBot="1">
      <c r="A3" s="182" t="s">
        <v>3</v>
      </c>
      <c r="B3" s="184" t="s">
        <v>4</v>
      </c>
      <c r="C3" s="181" t="s">
        <v>115</v>
      </c>
      <c r="D3" s="181" t="s">
        <v>24</v>
      </c>
      <c r="E3" s="181" t="s">
        <v>116</v>
      </c>
      <c r="F3" s="181" t="s">
        <v>99</v>
      </c>
      <c r="G3" s="181" t="s">
        <v>119</v>
      </c>
      <c r="H3" s="181" t="s">
        <v>117</v>
      </c>
      <c r="I3" s="181"/>
      <c r="J3" s="181"/>
      <c r="K3" s="181" t="s">
        <v>111</v>
      </c>
      <c r="L3" s="181"/>
      <c r="M3" s="181" t="s">
        <v>122</v>
      </c>
      <c r="N3" s="181" t="s">
        <v>123</v>
      </c>
      <c r="O3" s="181" t="s">
        <v>30</v>
      </c>
      <c r="P3" s="181" t="s">
        <v>9</v>
      </c>
      <c r="Q3" s="181"/>
      <c r="R3" s="181"/>
    </row>
    <row r="4" spans="1:21" ht="111" customHeight="1" thickBot="1">
      <c r="A4" s="183"/>
      <c r="B4" s="185"/>
      <c r="C4" s="181"/>
      <c r="D4" s="181"/>
      <c r="E4" s="181"/>
      <c r="F4" s="181"/>
      <c r="G4" s="181"/>
      <c r="H4" s="47" t="s">
        <v>121</v>
      </c>
      <c r="I4" s="47" t="s">
        <v>10</v>
      </c>
      <c r="J4" s="47" t="s">
        <v>29</v>
      </c>
      <c r="K4" s="47" t="s">
        <v>121</v>
      </c>
      <c r="L4" s="47" t="s">
        <v>30</v>
      </c>
      <c r="M4" s="181"/>
      <c r="N4" s="181"/>
      <c r="O4" s="181"/>
      <c r="P4" s="122" t="s">
        <v>114</v>
      </c>
      <c r="Q4" s="122" t="s">
        <v>120</v>
      </c>
      <c r="R4" s="122" t="s">
        <v>131</v>
      </c>
      <c r="S4" s="1"/>
      <c r="T4" s="1"/>
      <c r="U4" s="2"/>
    </row>
    <row r="5" spans="1:21" ht="21.75" customHeight="1">
      <c r="A5" s="51" t="s">
        <v>21</v>
      </c>
      <c r="B5" s="52"/>
      <c r="C5" s="89">
        <f aca="true" t="shared" si="0" ref="C5:H5">C6+C15+C17+C22+C10</f>
        <v>8521.22</v>
      </c>
      <c r="D5" s="89">
        <f t="shared" si="0"/>
        <v>0</v>
      </c>
      <c r="E5" s="89">
        <f t="shared" si="0"/>
        <v>8521.22</v>
      </c>
      <c r="F5" s="89">
        <f t="shared" si="0"/>
        <v>0</v>
      </c>
      <c r="G5" s="89">
        <f t="shared" si="0"/>
        <v>2526.8</v>
      </c>
      <c r="H5" s="161">
        <f t="shared" si="0"/>
        <v>3026.7000000000003</v>
      </c>
      <c r="I5" s="90">
        <f>IF(E5&gt;0,H5/E5,0)</f>
        <v>0.35519561752894546</v>
      </c>
      <c r="J5" s="90">
        <f>IF(F5&gt;0,H5/F5,0)</f>
        <v>0</v>
      </c>
      <c r="K5" s="89">
        <f>K6+K15+K17+K22+K10</f>
        <v>3231.6</v>
      </c>
      <c r="L5" s="90">
        <f aca="true" t="shared" si="1" ref="L5:L47">IF(K5&gt;0,H5/K5,0)</f>
        <v>0.9365948756034164</v>
      </c>
      <c r="M5" s="89">
        <f>M6+M15+M17+M22+M10</f>
        <v>499.9</v>
      </c>
      <c r="N5" s="89">
        <f>N6+N15+N17+N22+N10</f>
        <v>481.59999999999997</v>
      </c>
      <c r="O5" s="90">
        <f aca="true" t="shared" si="2" ref="O5:O21">IF(N5&gt;0,M5/N5,0)</f>
        <v>1.037998338870432</v>
      </c>
      <c r="P5" s="89">
        <f>P6+P15+P17+P22+P10</f>
        <v>390.90000000000003</v>
      </c>
      <c r="Q5" s="89">
        <f>Q6+Q15+Q17+Q22+Q10</f>
        <v>269.3</v>
      </c>
      <c r="R5" s="89">
        <f>R6+R15+R17+R22+R10</f>
        <v>237.29999999999998</v>
      </c>
      <c r="S5" s="4"/>
      <c r="T5" s="4"/>
      <c r="U5" s="4"/>
    </row>
    <row r="6" spans="1:22" ht="18" customHeight="1">
      <c r="A6" s="9" t="s">
        <v>63</v>
      </c>
      <c r="B6" s="53">
        <v>1010200001</v>
      </c>
      <c r="C6" s="72">
        <f aca="true" t="shared" si="3" ref="C6:H6">C7+C8+C9</f>
        <v>5221</v>
      </c>
      <c r="D6" s="72">
        <f t="shared" si="3"/>
        <v>0</v>
      </c>
      <c r="E6" s="72">
        <f t="shared" si="3"/>
        <v>5221</v>
      </c>
      <c r="F6" s="72">
        <f t="shared" si="3"/>
        <v>0</v>
      </c>
      <c r="G6" s="72">
        <f t="shared" si="3"/>
        <v>1844.7</v>
      </c>
      <c r="H6" s="72">
        <f t="shared" si="3"/>
        <v>2236.3</v>
      </c>
      <c r="I6" s="87">
        <f aca="true" t="shared" si="4" ref="I6:I47">IF(E6&gt;0,H6/E6,0)</f>
        <v>0.42832790653131586</v>
      </c>
      <c r="J6" s="87">
        <f>IF(F6&gt;0,H6/F6,0)</f>
        <v>0</v>
      </c>
      <c r="K6" s="72">
        <f>K7+K8+K9</f>
        <v>2280.2999999999997</v>
      </c>
      <c r="L6" s="87">
        <f t="shared" si="1"/>
        <v>0.9807042932947421</v>
      </c>
      <c r="M6" s="72">
        <f>M7+M8+M9</f>
        <v>391.6</v>
      </c>
      <c r="N6" s="72">
        <f>N7+N8+N9</f>
        <v>373.2</v>
      </c>
      <c r="O6" s="87">
        <f t="shared" si="2"/>
        <v>1.0493033226152197</v>
      </c>
      <c r="P6" s="72">
        <f>P7+P8+P9</f>
        <v>12.2</v>
      </c>
      <c r="Q6" s="72">
        <f>Q7+Q8+Q9</f>
        <v>16.8</v>
      </c>
      <c r="R6" s="72">
        <f>R7+R8+R9</f>
        <v>7.5</v>
      </c>
      <c r="V6" s="166"/>
    </row>
    <row r="7" spans="1:22" ht="18">
      <c r="A7" s="10" t="s">
        <v>44</v>
      </c>
      <c r="B7" s="13">
        <v>1010201001</v>
      </c>
      <c r="C7" s="71">
        <v>5183</v>
      </c>
      <c r="D7" s="68"/>
      <c r="E7" s="71">
        <f>C7+D7</f>
        <v>5183</v>
      </c>
      <c r="F7" s="71"/>
      <c r="G7" s="68">
        <v>1824.5</v>
      </c>
      <c r="H7" s="68">
        <f>G7+M7</f>
        <v>2216.1</v>
      </c>
      <c r="I7" s="77">
        <f t="shared" si="4"/>
        <v>0.42757090488134286</v>
      </c>
      <c r="J7" s="77">
        <f aca="true" t="shared" si="5" ref="J7:J47">IF(F7&gt;0,H7/F7,0)</f>
        <v>0</v>
      </c>
      <c r="K7" s="68">
        <v>2271</v>
      </c>
      <c r="L7" s="77">
        <f t="shared" si="1"/>
        <v>0.9758256274768824</v>
      </c>
      <c r="M7" s="68">
        <v>391.6</v>
      </c>
      <c r="N7" s="68">
        <v>372.5</v>
      </c>
      <c r="O7" s="77">
        <f t="shared" si="2"/>
        <v>1.051275167785235</v>
      </c>
      <c r="P7" s="71">
        <v>6.7</v>
      </c>
      <c r="Q7" s="71">
        <v>14.2</v>
      </c>
      <c r="R7" s="71">
        <v>4.9</v>
      </c>
      <c r="V7" s="166"/>
    </row>
    <row r="8" spans="1:22" ht="18">
      <c r="A8" s="10" t="s">
        <v>43</v>
      </c>
      <c r="B8" s="13">
        <v>1010202001</v>
      </c>
      <c r="C8" s="71">
        <v>18</v>
      </c>
      <c r="D8" s="68"/>
      <c r="E8" s="71">
        <f>C8+D8</f>
        <v>18</v>
      </c>
      <c r="F8" s="71"/>
      <c r="G8" s="71">
        <v>6.9</v>
      </c>
      <c r="H8" s="68">
        <f>G8+M8</f>
        <v>6.9</v>
      </c>
      <c r="I8" s="77">
        <f t="shared" si="4"/>
        <v>0.38333333333333336</v>
      </c>
      <c r="J8" s="77">
        <f t="shared" si="5"/>
        <v>0</v>
      </c>
      <c r="K8" s="71">
        <v>0.1</v>
      </c>
      <c r="L8" s="77">
        <f t="shared" si="1"/>
        <v>69</v>
      </c>
      <c r="M8" s="71"/>
      <c r="N8" s="71"/>
      <c r="O8" s="77">
        <f>IF(N8&gt;0,M8/N8,0)</f>
        <v>0</v>
      </c>
      <c r="P8" s="71"/>
      <c r="Q8" s="71"/>
      <c r="R8" s="71"/>
      <c r="V8" s="166"/>
    </row>
    <row r="9" spans="1:22" ht="18">
      <c r="A9" s="10" t="s">
        <v>42</v>
      </c>
      <c r="B9" s="13">
        <v>1010203001</v>
      </c>
      <c r="C9" s="71">
        <v>20</v>
      </c>
      <c r="D9" s="71"/>
      <c r="E9" s="71">
        <f>C9+D9</f>
        <v>20</v>
      </c>
      <c r="F9" s="71"/>
      <c r="G9" s="71">
        <v>13.3</v>
      </c>
      <c r="H9" s="68">
        <f>G9+M9</f>
        <v>13.3</v>
      </c>
      <c r="I9" s="77">
        <f t="shared" si="4"/>
        <v>0.665</v>
      </c>
      <c r="J9" s="77">
        <f t="shared" si="5"/>
        <v>0</v>
      </c>
      <c r="K9" s="71">
        <v>9.2</v>
      </c>
      <c r="L9" s="77">
        <f t="shared" si="1"/>
        <v>1.4456521739130437</v>
      </c>
      <c r="M9" s="71"/>
      <c r="N9" s="71">
        <v>0.7</v>
      </c>
      <c r="O9" s="77">
        <f t="shared" si="2"/>
        <v>0</v>
      </c>
      <c r="P9" s="71">
        <v>5.5</v>
      </c>
      <c r="Q9" s="71">
        <v>2.6</v>
      </c>
      <c r="R9" s="71">
        <v>2.6</v>
      </c>
      <c r="V9" s="166"/>
    </row>
    <row r="10" spans="1:22" ht="20.25" customHeight="1">
      <c r="A10" s="11" t="s">
        <v>48</v>
      </c>
      <c r="B10" s="19">
        <v>1030200001</v>
      </c>
      <c r="C10" s="72">
        <f aca="true" t="shared" si="6" ref="C10:H10">SUM(C11:C14)</f>
        <v>1414.22</v>
      </c>
      <c r="D10" s="72">
        <f t="shared" si="6"/>
        <v>0</v>
      </c>
      <c r="E10" s="72">
        <f t="shared" si="6"/>
        <v>1414.22</v>
      </c>
      <c r="F10" s="72">
        <f t="shared" si="6"/>
        <v>0</v>
      </c>
      <c r="G10" s="72">
        <f>G11+G12+G13+G14</f>
        <v>490.3</v>
      </c>
      <c r="H10" s="72">
        <f t="shared" si="6"/>
        <v>575.1999999999999</v>
      </c>
      <c r="I10" s="87">
        <f>IF(E10&gt;0,H10/E10,0)</f>
        <v>0.4067259690854322</v>
      </c>
      <c r="J10" s="87">
        <f>IF(F10&gt;0,H10/F10,0)</f>
        <v>0</v>
      </c>
      <c r="K10" s="72">
        <f>SUM(K11:K14)</f>
        <v>664.9999999999999</v>
      </c>
      <c r="L10" s="87">
        <f t="shared" si="1"/>
        <v>0.8649624060150376</v>
      </c>
      <c r="M10" s="72">
        <f>M11+M12+M13+M14</f>
        <v>84.89999999999999</v>
      </c>
      <c r="N10" s="72">
        <f>N11+N12+N13+N14</f>
        <v>103.19999999999999</v>
      </c>
      <c r="O10" s="87">
        <f t="shared" si="2"/>
        <v>0.8226744186046512</v>
      </c>
      <c r="P10" s="72">
        <f>SUM(P11:P14)</f>
        <v>0</v>
      </c>
      <c r="Q10" s="72">
        <f>SUM(Q11:Q14)</f>
        <v>0</v>
      </c>
      <c r="R10" s="72">
        <f>SUM(R11:R14)</f>
        <v>0</v>
      </c>
      <c r="V10" s="166"/>
    </row>
    <row r="11" spans="1:22" ht="18.75" customHeight="1">
      <c r="A11" s="12" t="s">
        <v>49</v>
      </c>
      <c r="B11" s="12">
        <v>1030223101</v>
      </c>
      <c r="C11" s="71">
        <v>648.05</v>
      </c>
      <c r="D11" s="71"/>
      <c r="E11" s="165">
        <f>C11+D11</f>
        <v>648.05</v>
      </c>
      <c r="F11" s="67"/>
      <c r="G11" s="71">
        <v>230.6</v>
      </c>
      <c r="H11" s="69">
        <f>G11+M11</f>
        <v>272.5</v>
      </c>
      <c r="I11" s="70">
        <f>IF(E11&gt;0,H11/E11,0)</f>
        <v>0.4204922459686753</v>
      </c>
      <c r="J11" s="70">
        <f>IF(F11&gt;0,H11/F11,0)</f>
        <v>0</v>
      </c>
      <c r="K11" s="71">
        <v>301.9</v>
      </c>
      <c r="L11" s="70">
        <f t="shared" si="1"/>
        <v>0.9026167605167275</v>
      </c>
      <c r="M11" s="71">
        <v>41.9</v>
      </c>
      <c r="N11" s="71">
        <v>48.1</v>
      </c>
      <c r="O11" s="70">
        <f t="shared" si="2"/>
        <v>0.8711018711018711</v>
      </c>
      <c r="P11" s="71"/>
      <c r="Q11" s="71"/>
      <c r="R11" s="71"/>
      <c r="V11" s="166"/>
    </row>
    <row r="12" spans="1:22" ht="18" customHeight="1">
      <c r="A12" s="12" t="s">
        <v>50</v>
      </c>
      <c r="B12" s="12">
        <v>1030224101</v>
      </c>
      <c r="C12" s="71">
        <v>3.34</v>
      </c>
      <c r="D12" s="71"/>
      <c r="E12" s="165">
        <f>C12+D12</f>
        <v>3.34</v>
      </c>
      <c r="F12" s="67"/>
      <c r="G12" s="71">
        <v>1.4</v>
      </c>
      <c r="H12" s="69">
        <f>G12+M12</f>
        <v>1.7</v>
      </c>
      <c r="I12" s="70">
        <f>IF(E12&gt;0,H12/E12,0)</f>
        <v>0.5089820359281437</v>
      </c>
      <c r="J12" s="70">
        <f>IF(F12&gt;0,H12/F12,0)</f>
        <v>0</v>
      </c>
      <c r="K12" s="71">
        <v>2.3</v>
      </c>
      <c r="L12" s="70">
        <f t="shared" si="1"/>
        <v>0.7391304347826088</v>
      </c>
      <c r="M12" s="71">
        <v>0.3</v>
      </c>
      <c r="N12" s="71">
        <v>0.4</v>
      </c>
      <c r="O12" s="70">
        <f t="shared" si="2"/>
        <v>0.7499999999999999</v>
      </c>
      <c r="P12" s="71"/>
      <c r="Q12" s="71"/>
      <c r="R12" s="71"/>
      <c r="V12" s="166"/>
    </row>
    <row r="13" spans="1:22" ht="18.75" customHeight="1">
      <c r="A13" s="12" t="s">
        <v>51</v>
      </c>
      <c r="B13" s="12">
        <v>1030225101</v>
      </c>
      <c r="C13" s="71">
        <v>846.47</v>
      </c>
      <c r="D13" s="71"/>
      <c r="E13" s="165">
        <f>C13+D13</f>
        <v>846.47</v>
      </c>
      <c r="F13" s="67"/>
      <c r="G13" s="71">
        <v>306.5</v>
      </c>
      <c r="H13" s="69">
        <f>G13+M13</f>
        <v>355.1</v>
      </c>
      <c r="I13" s="70">
        <f>IF(E13&gt;0,H13/E13,0)</f>
        <v>0.41950689333349084</v>
      </c>
      <c r="J13" s="70">
        <f>IF(F13&gt;0,H13/F13,0)</f>
        <v>0</v>
      </c>
      <c r="K13" s="71">
        <v>418.4</v>
      </c>
      <c r="L13" s="70">
        <f t="shared" si="1"/>
        <v>0.8487093690248567</v>
      </c>
      <c r="M13" s="71">
        <v>48.6</v>
      </c>
      <c r="N13" s="71">
        <v>66.1</v>
      </c>
      <c r="O13" s="70">
        <f t="shared" si="2"/>
        <v>0.7352496217851741</v>
      </c>
      <c r="P13" s="71"/>
      <c r="Q13" s="71"/>
      <c r="R13" s="71"/>
      <c r="V13" s="166"/>
    </row>
    <row r="14" spans="1:22" ht="18" customHeight="1">
      <c r="A14" s="12" t="s">
        <v>52</v>
      </c>
      <c r="B14" s="12">
        <v>1030226101</v>
      </c>
      <c r="C14" s="71">
        <v>-83.64</v>
      </c>
      <c r="D14" s="71"/>
      <c r="E14" s="165">
        <f>C14+D14</f>
        <v>-83.64</v>
      </c>
      <c r="F14" s="67"/>
      <c r="G14" s="71">
        <v>-48.2</v>
      </c>
      <c r="H14" s="69">
        <f>G14+M14</f>
        <v>-54.1</v>
      </c>
      <c r="I14" s="70">
        <f>H14/E14</f>
        <v>0.6468197034911526</v>
      </c>
      <c r="J14" s="70">
        <f>IF(F14&gt;0,H14/F14,0)</f>
        <v>0</v>
      </c>
      <c r="K14" s="71">
        <v>-57.6</v>
      </c>
      <c r="L14" s="70">
        <f t="shared" si="1"/>
        <v>0</v>
      </c>
      <c r="M14" s="71">
        <v>-5.9</v>
      </c>
      <c r="N14" s="71">
        <v>-11.4</v>
      </c>
      <c r="O14" s="70">
        <f t="shared" si="2"/>
        <v>0</v>
      </c>
      <c r="P14" s="71"/>
      <c r="Q14" s="71"/>
      <c r="R14" s="71"/>
      <c r="V14" s="166"/>
    </row>
    <row r="15" spans="1:22" ht="18">
      <c r="A15" s="9" t="s">
        <v>70</v>
      </c>
      <c r="B15" s="30">
        <v>1050000000</v>
      </c>
      <c r="C15" s="72">
        <f aca="true" t="shared" si="7" ref="C15:H15">C16</f>
        <v>28</v>
      </c>
      <c r="D15" s="73">
        <f t="shared" si="7"/>
        <v>0</v>
      </c>
      <c r="E15" s="73">
        <f t="shared" si="7"/>
        <v>28</v>
      </c>
      <c r="F15" s="73">
        <f t="shared" si="7"/>
        <v>0</v>
      </c>
      <c r="G15" s="72">
        <f>G16</f>
        <v>5.8</v>
      </c>
      <c r="H15" s="73">
        <f t="shared" si="7"/>
        <v>5.8</v>
      </c>
      <c r="I15" s="66">
        <f t="shared" si="4"/>
        <v>0.20714285714285713</v>
      </c>
      <c r="J15" s="66">
        <f t="shared" si="5"/>
        <v>0</v>
      </c>
      <c r="K15" s="72">
        <f>K16</f>
        <v>0.3</v>
      </c>
      <c r="L15" s="66">
        <f t="shared" si="1"/>
        <v>19.333333333333332</v>
      </c>
      <c r="M15" s="72">
        <f>M16</f>
        <v>0</v>
      </c>
      <c r="N15" s="72">
        <f>N16</f>
        <v>0</v>
      </c>
      <c r="O15" s="66">
        <f t="shared" si="2"/>
        <v>0</v>
      </c>
      <c r="P15" s="72">
        <f>P16</f>
        <v>0</v>
      </c>
      <c r="Q15" s="72">
        <f>Q16</f>
        <v>0</v>
      </c>
      <c r="R15" s="72">
        <f>R16</f>
        <v>0</v>
      </c>
      <c r="V15" s="166"/>
    </row>
    <row r="16" spans="1:22" ht="18">
      <c r="A16" s="13" t="s">
        <v>7</v>
      </c>
      <c r="B16" s="13">
        <v>1050300001</v>
      </c>
      <c r="C16" s="71">
        <v>28</v>
      </c>
      <c r="D16" s="83"/>
      <c r="E16" s="67">
        <f>C16+D16</f>
        <v>28</v>
      </c>
      <c r="F16" s="67"/>
      <c r="G16" s="71">
        <v>5.8</v>
      </c>
      <c r="H16" s="69">
        <f>G16+M16</f>
        <v>5.8</v>
      </c>
      <c r="I16" s="70">
        <f t="shared" si="4"/>
        <v>0.20714285714285713</v>
      </c>
      <c r="J16" s="70">
        <f t="shared" si="5"/>
        <v>0</v>
      </c>
      <c r="K16" s="71">
        <v>0.3</v>
      </c>
      <c r="L16" s="70">
        <f t="shared" si="1"/>
        <v>19.333333333333332</v>
      </c>
      <c r="M16" s="71"/>
      <c r="N16" s="71"/>
      <c r="O16" s="70">
        <f t="shared" si="2"/>
        <v>0</v>
      </c>
      <c r="P16" s="71"/>
      <c r="Q16" s="71"/>
      <c r="R16" s="71"/>
      <c r="V16" s="166"/>
    </row>
    <row r="17" spans="1:22" ht="18">
      <c r="A17" s="9" t="s">
        <v>71</v>
      </c>
      <c r="B17" s="30">
        <v>1060000000</v>
      </c>
      <c r="C17" s="72">
        <f aca="true" t="shared" si="8" ref="C17:H17">C18+C21</f>
        <v>1858</v>
      </c>
      <c r="D17" s="73">
        <f t="shared" si="8"/>
        <v>0</v>
      </c>
      <c r="E17" s="129">
        <f t="shared" si="8"/>
        <v>1858</v>
      </c>
      <c r="F17" s="73">
        <f t="shared" si="8"/>
        <v>0</v>
      </c>
      <c r="G17" s="73">
        <f>G18+G21</f>
        <v>186</v>
      </c>
      <c r="H17" s="73">
        <f t="shared" si="8"/>
        <v>209.4</v>
      </c>
      <c r="I17" s="66">
        <f t="shared" si="4"/>
        <v>0.11270182992465017</v>
      </c>
      <c r="J17" s="66">
        <f t="shared" si="5"/>
        <v>0</v>
      </c>
      <c r="K17" s="73">
        <f>K18+K21</f>
        <v>286</v>
      </c>
      <c r="L17" s="66">
        <f t="shared" si="1"/>
        <v>0.7321678321678322</v>
      </c>
      <c r="M17" s="73">
        <f>M18+M21</f>
        <v>23.4</v>
      </c>
      <c r="N17" s="73">
        <f>N18+N21</f>
        <v>5.2</v>
      </c>
      <c r="O17" s="66">
        <f t="shared" si="2"/>
        <v>4.5</v>
      </c>
      <c r="P17" s="72">
        <f>P18+P21</f>
        <v>378.70000000000005</v>
      </c>
      <c r="Q17" s="72">
        <f>Q18+Q21</f>
        <v>252.5</v>
      </c>
      <c r="R17" s="72">
        <f>R18+R21</f>
        <v>229.79999999999998</v>
      </c>
      <c r="V17" s="166"/>
    </row>
    <row r="18" spans="1:22" ht="18">
      <c r="A18" s="13" t="s">
        <v>13</v>
      </c>
      <c r="B18" s="13">
        <v>1060600000</v>
      </c>
      <c r="C18" s="68">
        <f aca="true" t="shared" si="9" ref="C18:H18">C19+C20</f>
        <v>1020</v>
      </c>
      <c r="D18" s="68">
        <f t="shared" si="9"/>
        <v>0</v>
      </c>
      <c r="E18" s="68">
        <f t="shared" si="9"/>
        <v>1020</v>
      </c>
      <c r="F18" s="68">
        <f t="shared" si="9"/>
        <v>0</v>
      </c>
      <c r="G18" s="74">
        <f>G19+G20</f>
        <v>136.9</v>
      </c>
      <c r="H18" s="68">
        <f t="shared" si="9"/>
        <v>152</v>
      </c>
      <c r="I18" s="70">
        <f t="shared" si="4"/>
        <v>0.14901960784313725</v>
      </c>
      <c r="J18" s="70">
        <f t="shared" si="5"/>
        <v>0</v>
      </c>
      <c r="K18" s="74">
        <f>K19+K20</f>
        <v>257.5</v>
      </c>
      <c r="L18" s="70">
        <f t="shared" si="1"/>
        <v>0.5902912621359223</v>
      </c>
      <c r="M18" s="74">
        <f>M19+M20</f>
        <v>15.1</v>
      </c>
      <c r="N18" s="74">
        <f>N19+N20</f>
        <v>1.6</v>
      </c>
      <c r="O18" s="70">
        <f t="shared" si="2"/>
        <v>9.4375</v>
      </c>
      <c r="P18" s="71">
        <f>P19+P20</f>
        <v>139.3</v>
      </c>
      <c r="Q18" s="71">
        <f>Q19+Q20</f>
        <v>107</v>
      </c>
      <c r="R18" s="71">
        <f>R19+R20</f>
        <v>101.6</v>
      </c>
      <c r="V18" s="166"/>
    </row>
    <row r="19" spans="1:22" ht="18">
      <c r="A19" s="13" t="s">
        <v>100</v>
      </c>
      <c r="B19" s="13">
        <v>1060603313</v>
      </c>
      <c r="C19" s="71">
        <v>370</v>
      </c>
      <c r="D19" s="68"/>
      <c r="E19" s="69">
        <f>C19+D19</f>
        <v>370</v>
      </c>
      <c r="F19" s="67"/>
      <c r="G19" s="71">
        <v>113.7</v>
      </c>
      <c r="H19" s="69">
        <f>G19+M19</f>
        <v>126.4</v>
      </c>
      <c r="I19" s="70">
        <f t="shared" si="4"/>
        <v>0.34162162162162163</v>
      </c>
      <c r="J19" s="70">
        <f t="shared" si="5"/>
        <v>0</v>
      </c>
      <c r="K19" s="71">
        <v>213.3</v>
      </c>
      <c r="L19" s="70">
        <f t="shared" si="1"/>
        <v>0.5925925925925926</v>
      </c>
      <c r="M19" s="71">
        <v>12.7</v>
      </c>
      <c r="N19" s="71">
        <v>1.5</v>
      </c>
      <c r="O19" s="70">
        <f t="shared" si="2"/>
        <v>8.466666666666667</v>
      </c>
      <c r="P19" s="71"/>
      <c r="Q19" s="71"/>
      <c r="R19" s="71"/>
      <c r="V19" s="166"/>
    </row>
    <row r="20" spans="1:22" ht="18">
      <c r="A20" s="13" t="s">
        <v>101</v>
      </c>
      <c r="B20" s="13">
        <v>1060604313</v>
      </c>
      <c r="C20" s="71">
        <v>650</v>
      </c>
      <c r="D20" s="68"/>
      <c r="E20" s="67">
        <f>C20+D20</f>
        <v>650</v>
      </c>
      <c r="F20" s="67"/>
      <c r="G20" s="71">
        <v>23.2</v>
      </c>
      <c r="H20" s="69">
        <f>G20+M20</f>
        <v>25.599999999999998</v>
      </c>
      <c r="I20" s="70">
        <f t="shared" si="4"/>
        <v>0.03938461538461538</v>
      </c>
      <c r="J20" s="70">
        <f t="shared" si="5"/>
        <v>0</v>
      </c>
      <c r="K20" s="71">
        <v>44.2</v>
      </c>
      <c r="L20" s="70">
        <f t="shared" si="1"/>
        <v>0.5791855203619909</v>
      </c>
      <c r="M20" s="71">
        <v>2.4</v>
      </c>
      <c r="N20" s="71">
        <v>0.1</v>
      </c>
      <c r="O20" s="70">
        <f t="shared" si="2"/>
        <v>23.999999999999996</v>
      </c>
      <c r="P20" s="71">
        <v>139.3</v>
      </c>
      <c r="Q20" s="71">
        <v>107</v>
      </c>
      <c r="R20" s="71">
        <v>101.6</v>
      </c>
      <c r="V20" s="166"/>
    </row>
    <row r="21" spans="1:22" ht="18">
      <c r="A21" s="13" t="s">
        <v>12</v>
      </c>
      <c r="B21" s="13">
        <v>1060103013</v>
      </c>
      <c r="C21" s="71">
        <v>838</v>
      </c>
      <c r="D21" s="68"/>
      <c r="E21" s="67">
        <f>C21+D21</f>
        <v>838</v>
      </c>
      <c r="F21" s="67"/>
      <c r="G21" s="71">
        <v>49.1</v>
      </c>
      <c r="H21" s="69">
        <f>G21+M21</f>
        <v>57.400000000000006</v>
      </c>
      <c r="I21" s="70">
        <f t="shared" si="4"/>
        <v>0.06849642004773271</v>
      </c>
      <c r="J21" s="70">
        <f t="shared" si="5"/>
        <v>0</v>
      </c>
      <c r="K21" s="71">
        <v>28.5</v>
      </c>
      <c r="L21" s="70">
        <f t="shared" si="1"/>
        <v>2.0140350877192983</v>
      </c>
      <c r="M21" s="71">
        <v>8.3</v>
      </c>
      <c r="N21" s="71">
        <v>3.6</v>
      </c>
      <c r="O21" s="70">
        <f t="shared" si="2"/>
        <v>2.305555555555556</v>
      </c>
      <c r="P21" s="71">
        <v>239.4</v>
      </c>
      <c r="Q21" s="71">
        <v>145.5</v>
      </c>
      <c r="R21" s="71">
        <v>128.2</v>
      </c>
      <c r="V21" s="166"/>
    </row>
    <row r="22" spans="1:22" ht="1.5" customHeight="1">
      <c r="A22" s="9" t="s">
        <v>73</v>
      </c>
      <c r="B22" s="30">
        <v>1090405010</v>
      </c>
      <c r="C22" s="72"/>
      <c r="D22" s="73"/>
      <c r="E22" s="65">
        <f>C22+D22</f>
        <v>0</v>
      </c>
      <c r="F22" s="65"/>
      <c r="G22" s="72"/>
      <c r="H22" s="75">
        <f>G22+M22</f>
        <v>0</v>
      </c>
      <c r="I22" s="66">
        <f t="shared" si="4"/>
        <v>0</v>
      </c>
      <c r="J22" s="66">
        <f t="shared" si="5"/>
        <v>0</v>
      </c>
      <c r="K22" s="72"/>
      <c r="L22" s="66">
        <f t="shared" si="1"/>
        <v>0</v>
      </c>
      <c r="M22" s="72"/>
      <c r="N22" s="72"/>
      <c r="O22" s="66">
        <f aca="true" t="shared" si="10" ref="O22:O37">IF(N22&gt;0,M22/N22,0)</f>
        <v>0</v>
      </c>
      <c r="P22" s="72"/>
      <c r="Q22" s="72"/>
      <c r="R22" s="72"/>
      <c r="V22" s="166"/>
    </row>
    <row r="23" spans="1:22" ht="18">
      <c r="A23" s="14" t="s">
        <v>22</v>
      </c>
      <c r="B23" s="32"/>
      <c r="C23" s="76">
        <f>C24+C30+C33+C37+C38</f>
        <v>1968.5</v>
      </c>
      <c r="D23" s="76">
        <f>D24+D30+D33+D37+D38</f>
        <v>360</v>
      </c>
      <c r="E23" s="76">
        <f>E24+E32+E35+E38+E37+E34+E31+E36</f>
        <v>2328.5</v>
      </c>
      <c r="F23" s="76">
        <f>F24+F32+F35+F38+F37+F34+F31+F36</f>
        <v>0</v>
      </c>
      <c r="G23" s="76">
        <f>G24+G30+G33+G37+G38</f>
        <v>701.2</v>
      </c>
      <c r="H23" s="76">
        <f>H24+H32+H35+H38+H37+H34+H31+H36</f>
        <v>874.3000000000001</v>
      </c>
      <c r="I23" s="64">
        <f t="shared" si="4"/>
        <v>0.3754777753918832</v>
      </c>
      <c r="J23" s="64">
        <f t="shared" si="5"/>
        <v>0</v>
      </c>
      <c r="K23" s="76">
        <f>K24+K30+K33+K37+K38</f>
        <v>826.6000000000001</v>
      </c>
      <c r="L23" s="64">
        <f t="shared" si="1"/>
        <v>1.057706266634406</v>
      </c>
      <c r="M23" s="76">
        <f>M24+M30+M33+M37+M38</f>
        <v>173.1</v>
      </c>
      <c r="N23" s="76">
        <f>N24+N30+N33+N37+N38</f>
        <v>296.4</v>
      </c>
      <c r="O23" s="64">
        <f t="shared" si="10"/>
        <v>0.5840080971659919</v>
      </c>
      <c r="P23" s="76">
        <f>P24+P31+P34+P37+P36+P33</f>
        <v>143.8</v>
      </c>
      <c r="Q23" s="76">
        <f>Q24+Q31+Q34+Q37+Q36+Q33</f>
        <v>219.7</v>
      </c>
      <c r="R23" s="76">
        <f>R24+R31+R34+R37+R36+R33</f>
        <v>109.19999999999999</v>
      </c>
      <c r="V23" s="166"/>
    </row>
    <row r="24" spans="1:22" ht="18">
      <c r="A24" s="9" t="s">
        <v>74</v>
      </c>
      <c r="B24" s="30">
        <v>1110000000</v>
      </c>
      <c r="C24" s="72">
        <f aca="true" t="shared" si="11" ref="C24:H24">C25+C28+C29+C26+C27</f>
        <v>1847</v>
      </c>
      <c r="D24" s="72">
        <f t="shared" si="11"/>
        <v>200</v>
      </c>
      <c r="E24" s="72">
        <f t="shared" si="11"/>
        <v>2047</v>
      </c>
      <c r="F24" s="72">
        <f t="shared" si="11"/>
        <v>0</v>
      </c>
      <c r="G24" s="72">
        <f>G25+G28+G29+G26+G27</f>
        <v>656.7</v>
      </c>
      <c r="H24" s="72">
        <f t="shared" si="11"/>
        <v>829.8000000000001</v>
      </c>
      <c r="I24" s="66">
        <f t="shared" si="4"/>
        <v>0.4053737176355643</v>
      </c>
      <c r="J24" s="66">
        <f t="shared" si="5"/>
        <v>0</v>
      </c>
      <c r="K24" s="72">
        <f>K25+K28+K29+K26+K27</f>
        <v>751.9000000000001</v>
      </c>
      <c r="L24" s="66">
        <f t="shared" si="1"/>
        <v>1.1036042026865274</v>
      </c>
      <c r="M24" s="72">
        <f>M25+M28+M29+M26+M27</f>
        <v>173.1</v>
      </c>
      <c r="N24" s="72">
        <f>N25+N28+N29+N26+N27</f>
        <v>227.09999999999997</v>
      </c>
      <c r="O24" s="66">
        <f t="shared" si="10"/>
        <v>0.7622192866578601</v>
      </c>
      <c r="P24" s="72">
        <f>P25+P27+P28</f>
        <v>143.8</v>
      </c>
      <c r="Q24" s="72">
        <f>Q25+Q27+Q28</f>
        <v>219.7</v>
      </c>
      <c r="R24" s="72">
        <f>R25+R27+R28</f>
        <v>109.19999999999999</v>
      </c>
      <c r="V24" s="166"/>
    </row>
    <row r="25" spans="1:22" ht="18.75">
      <c r="A25" s="54" t="s">
        <v>97</v>
      </c>
      <c r="B25" s="13">
        <v>1110501313</v>
      </c>
      <c r="C25" s="71">
        <v>1060</v>
      </c>
      <c r="D25" s="68">
        <f>200</f>
        <v>200</v>
      </c>
      <c r="E25" s="67">
        <f aca="true" t="shared" si="12" ref="E25:E34">C25+D25</f>
        <v>1260</v>
      </c>
      <c r="F25" s="67"/>
      <c r="G25" s="71">
        <v>339.7</v>
      </c>
      <c r="H25" s="69">
        <f aca="true" t="shared" si="13" ref="H25:H37">G25+M25</f>
        <v>450.2</v>
      </c>
      <c r="I25" s="70">
        <f t="shared" si="4"/>
        <v>0.3573015873015873</v>
      </c>
      <c r="J25" s="70">
        <f t="shared" si="5"/>
        <v>0</v>
      </c>
      <c r="K25" s="71">
        <v>421.2</v>
      </c>
      <c r="L25" s="70">
        <f t="shared" si="1"/>
        <v>1.0688509021842356</v>
      </c>
      <c r="M25" s="71">
        <v>110.5</v>
      </c>
      <c r="N25" s="71">
        <v>149.2</v>
      </c>
      <c r="O25" s="70">
        <f t="shared" si="10"/>
        <v>0.7406166219839143</v>
      </c>
      <c r="P25" s="61">
        <v>95</v>
      </c>
      <c r="Q25" s="61">
        <v>170.9</v>
      </c>
      <c r="R25" s="61">
        <v>60.4</v>
      </c>
      <c r="V25" s="166"/>
    </row>
    <row r="26" spans="1:22" ht="18.75">
      <c r="A26" s="13" t="s">
        <v>98</v>
      </c>
      <c r="B26" s="13">
        <v>1110502513</v>
      </c>
      <c r="C26" s="71"/>
      <c r="D26" s="83"/>
      <c r="E26" s="67">
        <f t="shared" si="12"/>
        <v>0</v>
      </c>
      <c r="F26" s="67"/>
      <c r="G26" s="71">
        <v>2.1</v>
      </c>
      <c r="H26" s="69">
        <f>G26+M26</f>
        <v>8.6</v>
      </c>
      <c r="I26" s="70">
        <f>IF(E26&gt;0,H26/E26,0)</f>
        <v>0</v>
      </c>
      <c r="J26" s="70"/>
      <c r="K26" s="71">
        <v>1.6</v>
      </c>
      <c r="L26" s="70">
        <f t="shared" si="1"/>
        <v>5.374999999999999</v>
      </c>
      <c r="M26" s="71">
        <v>6.5</v>
      </c>
      <c r="N26" s="71"/>
      <c r="O26" s="70">
        <f t="shared" si="10"/>
        <v>0</v>
      </c>
      <c r="P26" s="61"/>
      <c r="Q26" s="61"/>
      <c r="R26" s="61"/>
      <c r="V26" s="166"/>
    </row>
    <row r="27" spans="1:22" ht="18.75">
      <c r="A27" s="13" t="s">
        <v>112</v>
      </c>
      <c r="B27" s="13">
        <v>1110507513</v>
      </c>
      <c r="C27" s="71">
        <v>309.4</v>
      </c>
      <c r="D27" s="83"/>
      <c r="E27" s="67">
        <f t="shared" si="12"/>
        <v>309.4</v>
      </c>
      <c r="F27" s="67"/>
      <c r="G27" s="71">
        <v>128.3</v>
      </c>
      <c r="H27" s="69">
        <f>G27+M27</f>
        <v>154</v>
      </c>
      <c r="I27" s="70">
        <f>IF(E27&gt;0,H27/E27,0)</f>
        <v>0.49773755656108604</v>
      </c>
      <c r="J27" s="70"/>
      <c r="K27" s="71">
        <v>130.8</v>
      </c>
      <c r="L27" s="70"/>
      <c r="M27" s="71">
        <v>25.7</v>
      </c>
      <c r="N27" s="71">
        <v>40.7</v>
      </c>
      <c r="O27" s="70"/>
      <c r="P27" s="61"/>
      <c r="Q27" s="61"/>
      <c r="R27" s="61"/>
      <c r="V27" s="166"/>
    </row>
    <row r="28" spans="1:22" ht="18">
      <c r="A28" s="13" t="s">
        <v>23</v>
      </c>
      <c r="B28" s="13">
        <v>1110904513</v>
      </c>
      <c r="C28" s="71">
        <v>477.6</v>
      </c>
      <c r="D28" s="83"/>
      <c r="E28" s="67">
        <f t="shared" si="12"/>
        <v>477.6</v>
      </c>
      <c r="F28" s="67"/>
      <c r="G28" s="71">
        <v>186.6</v>
      </c>
      <c r="H28" s="69">
        <f t="shared" si="13"/>
        <v>217</v>
      </c>
      <c r="I28" s="70">
        <f t="shared" si="4"/>
        <v>0.4543551088777219</v>
      </c>
      <c r="J28" s="70">
        <f t="shared" si="5"/>
        <v>0</v>
      </c>
      <c r="K28" s="71">
        <v>198.3</v>
      </c>
      <c r="L28" s="70">
        <f t="shared" si="1"/>
        <v>1.0943015632879476</v>
      </c>
      <c r="M28" s="71">
        <v>30.4</v>
      </c>
      <c r="N28" s="71">
        <v>37.2</v>
      </c>
      <c r="O28" s="70">
        <f t="shared" si="10"/>
        <v>0.8172043010752688</v>
      </c>
      <c r="P28" s="71">
        <v>48.8</v>
      </c>
      <c r="Q28" s="71">
        <v>48.8</v>
      </c>
      <c r="R28" s="71">
        <v>48.8</v>
      </c>
      <c r="V28" s="166"/>
    </row>
    <row r="29" spans="1:22" ht="10.5" customHeight="1" hidden="1">
      <c r="A29" s="31" t="s">
        <v>18</v>
      </c>
      <c r="B29" s="13">
        <v>1110903513</v>
      </c>
      <c r="C29" s="71"/>
      <c r="D29" s="71"/>
      <c r="E29" s="67">
        <f t="shared" si="12"/>
        <v>0</v>
      </c>
      <c r="F29" s="67"/>
      <c r="G29" s="71"/>
      <c r="H29" s="69">
        <f t="shared" si="13"/>
        <v>0</v>
      </c>
      <c r="I29" s="70">
        <f t="shared" si="4"/>
        <v>0</v>
      </c>
      <c r="J29" s="70">
        <f t="shared" si="5"/>
        <v>0</v>
      </c>
      <c r="K29" s="71"/>
      <c r="L29" s="70">
        <f t="shared" si="1"/>
        <v>0</v>
      </c>
      <c r="M29" s="71"/>
      <c r="N29" s="71"/>
      <c r="O29" s="70">
        <f t="shared" si="10"/>
        <v>0</v>
      </c>
      <c r="P29" s="71"/>
      <c r="Q29" s="71"/>
      <c r="R29" s="71"/>
      <c r="V29" s="166"/>
    </row>
    <row r="30" spans="1:22" ht="18.75">
      <c r="A30" s="146" t="s">
        <v>66</v>
      </c>
      <c r="B30" s="148">
        <v>1130000000</v>
      </c>
      <c r="C30" s="133">
        <f>C31+C32</f>
        <v>0</v>
      </c>
      <c r="D30" s="133">
        <f>D31+D32</f>
        <v>0</v>
      </c>
      <c r="E30" s="134">
        <f>C30+D30</f>
        <v>0</v>
      </c>
      <c r="F30" s="134"/>
      <c r="G30" s="133">
        <f>G31+G32</f>
        <v>28.1</v>
      </c>
      <c r="H30" s="147">
        <f t="shared" si="13"/>
        <v>28.1</v>
      </c>
      <c r="I30" s="135">
        <f t="shared" si="4"/>
        <v>0</v>
      </c>
      <c r="J30" s="135"/>
      <c r="K30" s="133">
        <f>K31+K32</f>
        <v>69.3</v>
      </c>
      <c r="L30" s="135">
        <f t="shared" si="1"/>
        <v>0.4054834054834055</v>
      </c>
      <c r="M30" s="133">
        <f>M31+M32</f>
        <v>0</v>
      </c>
      <c r="N30" s="133">
        <f>N31+N32</f>
        <v>69.3</v>
      </c>
      <c r="O30" s="135">
        <f t="shared" si="10"/>
        <v>0</v>
      </c>
      <c r="P30" s="133">
        <f>P31+P32</f>
        <v>0</v>
      </c>
      <c r="Q30" s="133">
        <f>Q31+Q32</f>
        <v>0</v>
      </c>
      <c r="R30" s="133">
        <f>R31+R32</f>
        <v>0</v>
      </c>
      <c r="V30" s="166"/>
    </row>
    <row r="31" spans="1:22" ht="18">
      <c r="A31" s="45" t="s">
        <v>103</v>
      </c>
      <c r="B31" s="15">
        <v>1130206513</v>
      </c>
      <c r="C31" s="142"/>
      <c r="D31" s="142"/>
      <c r="E31" s="143">
        <f t="shared" si="12"/>
        <v>0</v>
      </c>
      <c r="F31" s="143"/>
      <c r="G31" s="142"/>
      <c r="H31" s="144">
        <f t="shared" si="13"/>
        <v>0</v>
      </c>
      <c r="I31" s="145">
        <f t="shared" si="4"/>
        <v>0</v>
      </c>
      <c r="J31" s="145"/>
      <c r="K31" s="142">
        <v>60.4</v>
      </c>
      <c r="L31" s="145">
        <f t="shared" si="1"/>
        <v>0</v>
      </c>
      <c r="M31" s="142"/>
      <c r="N31" s="142">
        <v>60.4</v>
      </c>
      <c r="O31" s="145">
        <f t="shared" si="10"/>
        <v>0</v>
      </c>
      <c r="P31" s="142"/>
      <c r="Q31" s="142"/>
      <c r="R31" s="142"/>
      <c r="V31" s="166"/>
    </row>
    <row r="32" spans="1:22" ht="18">
      <c r="A32" s="15" t="s">
        <v>38</v>
      </c>
      <c r="B32" s="15">
        <v>1130299513</v>
      </c>
      <c r="C32" s="142"/>
      <c r="D32" s="142"/>
      <c r="E32" s="143">
        <f t="shared" si="12"/>
        <v>0</v>
      </c>
      <c r="F32" s="143"/>
      <c r="G32" s="142">
        <v>28.1</v>
      </c>
      <c r="H32" s="144">
        <f t="shared" si="13"/>
        <v>28.1</v>
      </c>
      <c r="I32" s="145">
        <f t="shared" si="4"/>
        <v>0</v>
      </c>
      <c r="J32" s="145">
        <f t="shared" si="5"/>
        <v>0</v>
      </c>
      <c r="K32" s="142">
        <v>8.9</v>
      </c>
      <c r="L32" s="145">
        <f t="shared" si="1"/>
        <v>3.157303370786517</v>
      </c>
      <c r="M32" s="142"/>
      <c r="N32" s="142">
        <v>8.9</v>
      </c>
      <c r="O32" s="145">
        <f t="shared" si="10"/>
        <v>0</v>
      </c>
      <c r="P32" s="142"/>
      <c r="Q32" s="142"/>
      <c r="R32" s="142"/>
      <c r="V32" s="166"/>
    </row>
    <row r="33" spans="1:22" ht="18.75">
      <c r="A33" s="146" t="s">
        <v>67</v>
      </c>
      <c r="B33" s="148">
        <v>1140000000</v>
      </c>
      <c r="C33" s="151">
        <f>C34+C35+C36</f>
        <v>112.5</v>
      </c>
      <c r="D33" s="151">
        <f>D34+D35+D36</f>
        <v>160</v>
      </c>
      <c r="E33" s="134">
        <f t="shared" si="12"/>
        <v>272.5</v>
      </c>
      <c r="F33" s="134"/>
      <c r="G33" s="151">
        <f>G34+G35+G36</f>
        <v>15.5</v>
      </c>
      <c r="H33" s="147">
        <f t="shared" si="13"/>
        <v>15.5</v>
      </c>
      <c r="I33" s="135">
        <f>IF(E33&gt;0,H33/E33,0)</f>
        <v>0.05688073394495413</v>
      </c>
      <c r="J33" s="135"/>
      <c r="K33" s="151">
        <f>K34+K35+K36</f>
        <v>5.199999999999999</v>
      </c>
      <c r="L33" s="135">
        <f>IF(K33&gt;0,H33/K33,0)</f>
        <v>2.9807692307692313</v>
      </c>
      <c r="M33" s="151">
        <f>M34+M35+M36</f>
        <v>0</v>
      </c>
      <c r="N33" s="151">
        <f>N34+N35+N36</f>
        <v>0</v>
      </c>
      <c r="O33" s="135">
        <f t="shared" si="10"/>
        <v>0</v>
      </c>
      <c r="P33" s="151">
        <f>P34+P35+P36</f>
        <v>0</v>
      </c>
      <c r="Q33" s="151">
        <f>Q34+Q35+Q36</f>
        <v>0</v>
      </c>
      <c r="R33" s="151">
        <f>R34+R35+R36</f>
        <v>0</v>
      </c>
      <c r="V33" s="166"/>
    </row>
    <row r="34" spans="1:22" ht="18">
      <c r="A34" s="15" t="s">
        <v>75</v>
      </c>
      <c r="B34" s="15">
        <v>1140205313</v>
      </c>
      <c r="C34" s="142">
        <v>100</v>
      </c>
      <c r="D34" s="142">
        <f>160</f>
        <v>160</v>
      </c>
      <c r="E34" s="143">
        <f t="shared" si="12"/>
        <v>260</v>
      </c>
      <c r="F34" s="143"/>
      <c r="G34" s="142">
        <v>10.7</v>
      </c>
      <c r="H34" s="144">
        <f t="shared" si="13"/>
        <v>10.7</v>
      </c>
      <c r="I34" s="145">
        <f>IF(E34&gt;0,H34/E34,0)</f>
        <v>0.04115384615384615</v>
      </c>
      <c r="J34" s="145">
        <f>IF(F34&gt;0,H34/F34,0)</f>
        <v>0</v>
      </c>
      <c r="K34" s="142">
        <v>-1.6</v>
      </c>
      <c r="L34" s="145">
        <f>IF(K34&gt;0,H34/K34,0)</f>
        <v>0</v>
      </c>
      <c r="M34" s="142"/>
      <c r="N34" s="142"/>
      <c r="O34" s="145">
        <f t="shared" si="10"/>
        <v>0</v>
      </c>
      <c r="P34" s="142"/>
      <c r="Q34" s="142"/>
      <c r="R34" s="142"/>
      <c r="V34" s="166"/>
    </row>
    <row r="35" spans="1:22" ht="18">
      <c r="A35" s="15" t="s">
        <v>104</v>
      </c>
      <c r="B35" s="15">
        <v>1140601313</v>
      </c>
      <c r="C35" s="142">
        <v>12.5</v>
      </c>
      <c r="D35" s="142"/>
      <c r="E35" s="144">
        <f>C35+D35</f>
        <v>12.5</v>
      </c>
      <c r="F35" s="144"/>
      <c r="G35" s="142">
        <v>4.8</v>
      </c>
      <c r="H35" s="144">
        <f t="shared" si="13"/>
        <v>4.8</v>
      </c>
      <c r="I35" s="145">
        <f t="shared" si="4"/>
        <v>0.384</v>
      </c>
      <c r="J35" s="145">
        <f t="shared" si="5"/>
        <v>0</v>
      </c>
      <c r="K35" s="142">
        <v>6.8</v>
      </c>
      <c r="L35" s="145">
        <f t="shared" si="1"/>
        <v>0.7058823529411765</v>
      </c>
      <c r="M35" s="142"/>
      <c r="N35" s="142"/>
      <c r="O35" s="145">
        <f t="shared" si="10"/>
        <v>0</v>
      </c>
      <c r="P35" s="142"/>
      <c r="Q35" s="142"/>
      <c r="R35" s="142"/>
      <c r="V35" s="166"/>
    </row>
    <row r="36" spans="1:22" ht="18">
      <c r="A36" s="15" t="s">
        <v>105</v>
      </c>
      <c r="B36" s="150">
        <v>1140602513</v>
      </c>
      <c r="C36" s="149"/>
      <c r="D36" s="142"/>
      <c r="E36" s="144">
        <f>C36+D36</f>
        <v>0</v>
      </c>
      <c r="F36" s="144"/>
      <c r="G36" s="142"/>
      <c r="H36" s="144">
        <f t="shared" si="13"/>
        <v>0</v>
      </c>
      <c r="I36" s="145">
        <f t="shared" si="4"/>
        <v>0</v>
      </c>
      <c r="J36" s="145">
        <f t="shared" si="5"/>
        <v>0</v>
      </c>
      <c r="K36" s="142"/>
      <c r="L36" s="145">
        <f t="shared" si="1"/>
        <v>0</v>
      </c>
      <c r="M36" s="142"/>
      <c r="N36" s="142"/>
      <c r="O36" s="145">
        <f t="shared" si="10"/>
        <v>0</v>
      </c>
      <c r="P36" s="142"/>
      <c r="Q36" s="142"/>
      <c r="R36" s="142"/>
      <c r="V36" s="166"/>
    </row>
    <row r="37" spans="1:22" ht="18">
      <c r="A37" s="9" t="s">
        <v>77</v>
      </c>
      <c r="B37" s="55">
        <v>1160000000</v>
      </c>
      <c r="C37" s="72">
        <v>9</v>
      </c>
      <c r="D37" s="72"/>
      <c r="E37" s="85">
        <f>C37+D37</f>
        <v>9</v>
      </c>
      <c r="F37" s="75"/>
      <c r="G37" s="72">
        <v>0.9</v>
      </c>
      <c r="H37" s="75">
        <f t="shared" si="13"/>
        <v>0.9</v>
      </c>
      <c r="I37" s="66">
        <f t="shared" si="4"/>
        <v>0.1</v>
      </c>
      <c r="J37" s="66">
        <f t="shared" si="5"/>
        <v>0</v>
      </c>
      <c r="K37" s="72">
        <v>0.2</v>
      </c>
      <c r="L37" s="66">
        <f t="shared" si="1"/>
        <v>4.5</v>
      </c>
      <c r="M37" s="72"/>
      <c r="N37" s="72"/>
      <c r="O37" s="66">
        <f t="shared" si="10"/>
        <v>0</v>
      </c>
      <c r="P37" s="72"/>
      <c r="Q37" s="72"/>
      <c r="R37" s="72"/>
      <c r="V37" s="166"/>
    </row>
    <row r="38" spans="1:22" ht="18">
      <c r="A38" s="9" t="s">
        <v>69</v>
      </c>
      <c r="B38" s="30">
        <v>1170000000</v>
      </c>
      <c r="C38" s="72">
        <f>SUM(C39:C40)</f>
        <v>0</v>
      </c>
      <c r="D38" s="72">
        <f aca="true" t="shared" si="14" ref="D38:R38">SUM(D39:D40)</f>
        <v>0</v>
      </c>
      <c r="E38" s="72">
        <f t="shared" si="14"/>
        <v>0</v>
      </c>
      <c r="F38" s="72">
        <f t="shared" si="14"/>
        <v>0</v>
      </c>
      <c r="G38" s="72">
        <f>SUM(G39:G40)</f>
        <v>0</v>
      </c>
      <c r="H38" s="72">
        <f t="shared" si="14"/>
        <v>0</v>
      </c>
      <c r="I38" s="66">
        <f t="shared" si="4"/>
        <v>0</v>
      </c>
      <c r="J38" s="66">
        <f t="shared" si="5"/>
        <v>0</v>
      </c>
      <c r="K38" s="72">
        <f>SUM(K39:K40)</f>
        <v>0</v>
      </c>
      <c r="L38" s="66">
        <f t="shared" si="1"/>
        <v>0</v>
      </c>
      <c r="M38" s="72">
        <f>SUM(M39:M40)</f>
        <v>0</v>
      </c>
      <c r="N38" s="72">
        <f>SUM(N39:N40)</f>
        <v>0</v>
      </c>
      <c r="O38" s="72">
        <f t="shared" si="14"/>
        <v>0</v>
      </c>
      <c r="P38" s="72">
        <f t="shared" si="14"/>
        <v>0</v>
      </c>
      <c r="Q38" s="72">
        <f>SUM(Q39:Q40)</f>
        <v>0</v>
      </c>
      <c r="R38" s="72">
        <f t="shared" si="14"/>
        <v>0</v>
      </c>
      <c r="V38" s="166"/>
    </row>
    <row r="39" spans="1:22" ht="18">
      <c r="A39" s="13" t="s">
        <v>8</v>
      </c>
      <c r="B39" s="13">
        <v>1170103003</v>
      </c>
      <c r="C39" s="71"/>
      <c r="D39" s="71"/>
      <c r="E39" s="67">
        <f>C39+D39</f>
        <v>0</v>
      </c>
      <c r="F39" s="67"/>
      <c r="G39" s="71"/>
      <c r="H39" s="68">
        <f>G39+M39</f>
        <v>0</v>
      </c>
      <c r="I39" s="70">
        <f t="shared" si="4"/>
        <v>0</v>
      </c>
      <c r="J39" s="70">
        <f t="shared" si="5"/>
        <v>0</v>
      </c>
      <c r="K39" s="71"/>
      <c r="L39" s="70">
        <f t="shared" si="1"/>
        <v>0</v>
      </c>
      <c r="M39" s="71"/>
      <c r="N39" s="71"/>
      <c r="O39" s="70">
        <f aca="true" t="shared" si="15" ref="O39:O47">IF(N39&gt;0,M39/N39,0)</f>
        <v>0</v>
      </c>
      <c r="P39" s="77"/>
      <c r="Q39" s="77"/>
      <c r="R39" s="77"/>
      <c r="V39" s="166"/>
    </row>
    <row r="40" spans="1:22" ht="18">
      <c r="A40" s="13" t="s">
        <v>33</v>
      </c>
      <c r="B40" s="13">
        <v>1170505013</v>
      </c>
      <c r="C40" s="71"/>
      <c r="D40" s="68"/>
      <c r="E40" s="67">
        <f>C40+D40</f>
        <v>0</v>
      </c>
      <c r="F40" s="67"/>
      <c r="G40" s="71"/>
      <c r="H40" s="69">
        <f>G40+M40</f>
        <v>0</v>
      </c>
      <c r="I40" s="70">
        <f>IF(E40&gt;0,H40/E40,0)</f>
        <v>0</v>
      </c>
      <c r="J40" s="70">
        <f>IF(F40&gt;0,H40/F40,0)</f>
        <v>0</v>
      </c>
      <c r="K40" s="71"/>
      <c r="L40" s="70">
        <f>IF(K40&gt;0,H40/K40,0)</f>
        <v>0</v>
      </c>
      <c r="M40" s="71"/>
      <c r="N40" s="71"/>
      <c r="O40" s="70">
        <f t="shared" si="15"/>
        <v>0</v>
      </c>
      <c r="P40" s="71"/>
      <c r="Q40" s="71"/>
      <c r="R40" s="71"/>
      <c r="V40" s="166"/>
    </row>
    <row r="41" spans="1:22" ht="18">
      <c r="A41" s="9" t="s">
        <v>6</v>
      </c>
      <c r="B41" s="9">
        <v>1000000000</v>
      </c>
      <c r="C41" s="78">
        <f aca="true" t="shared" si="16" ref="C41:H41">C5+C23</f>
        <v>10489.72</v>
      </c>
      <c r="D41" s="78">
        <f t="shared" si="16"/>
        <v>360</v>
      </c>
      <c r="E41" s="78">
        <f t="shared" si="16"/>
        <v>10849.72</v>
      </c>
      <c r="F41" s="79">
        <f t="shared" si="16"/>
        <v>0</v>
      </c>
      <c r="G41" s="79">
        <f>G5+G23</f>
        <v>3228</v>
      </c>
      <c r="H41" s="79">
        <f t="shared" si="16"/>
        <v>3901.0000000000005</v>
      </c>
      <c r="I41" s="80">
        <f t="shared" si="4"/>
        <v>0.3595484491765687</v>
      </c>
      <c r="J41" s="80">
        <f t="shared" si="5"/>
        <v>0</v>
      </c>
      <c r="K41" s="79">
        <f>K5+K23</f>
        <v>4058.2</v>
      </c>
      <c r="L41" s="80">
        <f t="shared" si="1"/>
        <v>0.9612636144103298</v>
      </c>
      <c r="M41" s="79">
        <f>M5+M23</f>
        <v>673</v>
      </c>
      <c r="N41" s="79">
        <f>N5+N23</f>
        <v>778</v>
      </c>
      <c r="O41" s="80">
        <f t="shared" si="15"/>
        <v>0.8650385604113111</v>
      </c>
      <c r="P41" s="79">
        <f>P5+P23</f>
        <v>534.7</v>
      </c>
      <c r="Q41" s="79">
        <f>Q5+Q23</f>
        <v>489</v>
      </c>
      <c r="R41" s="123">
        <f>R5+R23</f>
        <v>346.5</v>
      </c>
      <c r="V41" s="166"/>
    </row>
    <row r="42" spans="1:22" ht="18">
      <c r="A42" s="9" t="s">
        <v>92</v>
      </c>
      <c r="B42" s="9"/>
      <c r="C42" s="78">
        <f aca="true" t="shared" si="17" ref="C42:H42">C41-C10</f>
        <v>9075.5</v>
      </c>
      <c r="D42" s="78">
        <f t="shared" si="17"/>
        <v>360</v>
      </c>
      <c r="E42" s="78">
        <f t="shared" si="17"/>
        <v>9435.5</v>
      </c>
      <c r="F42" s="79">
        <f t="shared" si="17"/>
        <v>0</v>
      </c>
      <c r="G42" s="79">
        <f>G41-G10</f>
        <v>2737.7</v>
      </c>
      <c r="H42" s="79">
        <f t="shared" si="17"/>
        <v>3325.8000000000006</v>
      </c>
      <c r="I42" s="80">
        <f>IF(E42&gt;0,H42/E42,0)</f>
        <v>0.35247734619257065</v>
      </c>
      <c r="J42" s="80">
        <f>IF(F42&gt;0,H42/F42,0)</f>
        <v>0</v>
      </c>
      <c r="K42" s="79">
        <f>K41-K10</f>
        <v>3393.2</v>
      </c>
      <c r="L42" s="80">
        <f t="shared" si="1"/>
        <v>0.9801367440763883</v>
      </c>
      <c r="M42" s="79">
        <f>M41-M10</f>
        <v>588.1</v>
      </c>
      <c r="N42" s="79">
        <f>N41-N10</f>
        <v>674.8</v>
      </c>
      <c r="O42" s="80">
        <f t="shared" si="15"/>
        <v>0.871517486662715</v>
      </c>
      <c r="P42" s="79"/>
      <c r="Q42" s="79"/>
      <c r="R42" s="123"/>
      <c r="V42" s="166"/>
    </row>
    <row r="43" spans="1:22" ht="18">
      <c r="A43" s="13" t="s">
        <v>36</v>
      </c>
      <c r="B43" s="13">
        <v>2000000000</v>
      </c>
      <c r="C43" s="83">
        <v>10847.3</v>
      </c>
      <c r="D43" s="83">
        <f>2891.6+900</f>
        <v>3791.6</v>
      </c>
      <c r="E43" s="165">
        <f>C43+D43</f>
        <v>14638.9</v>
      </c>
      <c r="F43" s="67"/>
      <c r="G43" s="71">
        <v>326.8</v>
      </c>
      <c r="H43" s="68">
        <f>G43+M43</f>
        <v>2344.9</v>
      </c>
      <c r="I43" s="70">
        <f t="shared" si="4"/>
        <v>0.1601828006202652</v>
      </c>
      <c r="J43" s="70">
        <f t="shared" si="5"/>
        <v>0</v>
      </c>
      <c r="K43" s="71">
        <v>1494.6</v>
      </c>
      <c r="L43" s="70">
        <f t="shared" si="1"/>
        <v>1.568914759801954</v>
      </c>
      <c r="M43" s="71">
        <v>2018.1</v>
      </c>
      <c r="N43" s="71"/>
      <c r="O43" s="70">
        <f t="shared" si="15"/>
        <v>0</v>
      </c>
      <c r="P43" s="71"/>
      <c r="Q43" s="71"/>
      <c r="R43" s="71"/>
      <c r="V43" s="166"/>
    </row>
    <row r="44" spans="1:22" ht="18">
      <c r="A44" s="13" t="s">
        <v>46</v>
      </c>
      <c r="B44" s="34" t="s">
        <v>95</v>
      </c>
      <c r="C44" s="71"/>
      <c r="D44" s="83">
        <f>370.2</f>
        <v>370.2</v>
      </c>
      <c r="E44" s="67">
        <f>C44+D44</f>
        <v>370.2</v>
      </c>
      <c r="F44" s="67"/>
      <c r="G44" s="71">
        <v>313.6</v>
      </c>
      <c r="H44" s="68">
        <f>G44+M44</f>
        <v>313.6</v>
      </c>
      <c r="I44" s="70">
        <f>IF(E44&gt;0,H44/E44,0)</f>
        <v>0.8471096704484063</v>
      </c>
      <c r="J44" s="70">
        <f>IF(F44&gt;0,H44/F44,0)</f>
        <v>0</v>
      </c>
      <c r="K44" s="71">
        <v>366.5</v>
      </c>
      <c r="L44" s="70">
        <f t="shared" si="1"/>
        <v>0.8556616643929059</v>
      </c>
      <c r="M44" s="71"/>
      <c r="N44" s="71"/>
      <c r="O44" s="70">
        <f t="shared" si="15"/>
        <v>0</v>
      </c>
      <c r="P44" s="71"/>
      <c r="Q44" s="71"/>
      <c r="R44" s="71"/>
      <c r="V44" s="166"/>
    </row>
    <row r="45" spans="1:22" ht="18">
      <c r="A45" s="8" t="s">
        <v>108</v>
      </c>
      <c r="B45" s="157" t="s">
        <v>113</v>
      </c>
      <c r="C45" s="71"/>
      <c r="D45" s="83"/>
      <c r="E45" s="67">
        <f>C45+D45</f>
        <v>0</v>
      </c>
      <c r="F45" s="67"/>
      <c r="G45" s="68"/>
      <c r="H45" s="68">
        <f>G45+M45</f>
        <v>0</v>
      </c>
      <c r="I45" s="70">
        <f>IF(E45&gt;0,H45/E45,0)</f>
        <v>0</v>
      </c>
      <c r="J45" s="70"/>
      <c r="K45" s="68">
        <v>27.8</v>
      </c>
      <c r="L45" s="70"/>
      <c r="M45" s="68"/>
      <c r="N45" s="68"/>
      <c r="O45" s="70"/>
      <c r="P45" s="71"/>
      <c r="Q45" s="71"/>
      <c r="R45" s="71"/>
      <c r="V45" s="166"/>
    </row>
    <row r="46" spans="1:22" ht="18.75" customHeight="1">
      <c r="A46" s="8" t="s">
        <v>93</v>
      </c>
      <c r="B46" s="46" t="s">
        <v>107</v>
      </c>
      <c r="C46" s="71"/>
      <c r="D46" s="82"/>
      <c r="E46" s="67">
        <f>C46+D46</f>
        <v>0</v>
      </c>
      <c r="F46" s="67"/>
      <c r="G46" s="71"/>
      <c r="H46" s="68">
        <f>G46+M46</f>
        <v>0</v>
      </c>
      <c r="I46" s="70"/>
      <c r="J46" s="70"/>
      <c r="K46" s="71"/>
      <c r="L46" s="70"/>
      <c r="M46" s="71"/>
      <c r="N46" s="71"/>
      <c r="O46" s="70"/>
      <c r="P46" s="71"/>
      <c r="Q46" s="71"/>
      <c r="R46" s="71"/>
      <c r="V46" s="166"/>
    </row>
    <row r="47" spans="1:22" ht="18">
      <c r="A47" s="9" t="s">
        <v>2</v>
      </c>
      <c r="B47" s="9"/>
      <c r="C47" s="78">
        <f>C41+C43+C44</f>
        <v>21337.019999999997</v>
      </c>
      <c r="D47" s="78">
        <f>D41+D43+D44+D46+D45</f>
        <v>4521.8</v>
      </c>
      <c r="E47" s="78">
        <f>E41+E43+E44+E46+E45</f>
        <v>25858.82</v>
      </c>
      <c r="F47" s="79">
        <f>F41+F43+F44</f>
        <v>0</v>
      </c>
      <c r="G47" s="79">
        <f>G41+G43+G44+G46+G45</f>
        <v>3868.4</v>
      </c>
      <c r="H47" s="79">
        <f>H41+H43+H44+H46+H45</f>
        <v>6559.500000000001</v>
      </c>
      <c r="I47" s="80">
        <f t="shared" si="4"/>
        <v>0.25366586719734313</v>
      </c>
      <c r="J47" s="80">
        <f t="shared" si="5"/>
        <v>0</v>
      </c>
      <c r="K47" s="79">
        <f>K41+K43+K44+K45+K46</f>
        <v>5947.099999999999</v>
      </c>
      <c r="L47" s="80">
        <f t="shared" si="1"/>
        <v>1.1029745590287705</v>
      </c>
      <c r="M47" s="79">
        <f>M41+M43+M44+M46+M45</f>
        <v>2691.1</v>
      </c>
      <c r="N47" s="79">
        <f>N41+N43+N44+N46+N45</f>
        <v>778</v>
      </c>
      <c r="O47" s="80">
        <f t="shared" si="15"/>
        <v>3.4589974293059127</v>
      </c>
      <c r="P47" s="79">
        <f>P41+P43+P44</f>
        <v>534.7</v>
      </c>
      <c r="Q47" s="79">
        <f>Q41+Q43+Q44</f>
        <v>489</v>
      </c>
      <c r="R47" s="79">
        <f>R41+R43+R44</f>
        <v>346.5</v>
      </c>
      <c r="V47" s="166"/>
    </row>
  </sheetData>
  <sheetProtection/>
  <mergeCells count="15">
    <mergeCell ref="P3:R3"/>
    <mergeCell ref="K3:L3"/>
    <mergeCell ref="F3:F4"/>
    <mergeCell ref="H3:J3"/>
    <mergeCell ref="N3:N4"/>
    <mergeCell ref="O3:O4"/>
    <mergeCell ref="A3:A4"/>
    <mergeCell ref="B3:B4"/>
    <mergeCell ref="C3:C4"/>
    <mergeCell ref="D3:D4"/>
    <mergeCell ref="C1:N1"/>
    <mergeCell ref="B2:R2"/>
    <mergeCell ref="G3:G4"/>
    <mergeCell ref="M3:M4"/>
    <mergeCell ref="E3:E4"/>
  </mergeCells>
  <printOptions/>
  <pageMargins left="0.75" right="0.75" top="1" bottom="1" header="0.5" footer="0.5"/>
  <pageSetup fitToWidth="0" fitToHeight="1" horizontalDpi="300" verticalDpi="3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1" sqref="R21"/>
    </sheetView>
  </sheetViews>
  <sheetFormatPr defaultColWidth="9.00390625" defaultRowHeight="12.75"/>
  <cols>
    <col min="1" max="1" width="38.625" style="0" customWidth="1"/>
    <col min="2" max="2" width="15.375" style="0" customWidth="1"/>
    <col min="3" max="3" width="14.00390625" style="0" customWidth="1"/>
    <col min="4" max="4" width="12.125" style="0" customWidth="1"/>
    <col min="5" max="5" width="14.875" style="0" customWidth="1"/>
    <col min="6" max="6" width="11.00390625" style="0" hidden="1" customWidth="1"/>
    <col min="7" max="7" width="11.875" style="0" customWidth="1"/>
    <col min="8" max="8" width="11.375" style="0" customWidth="1"/>
    <col min="9" max="9" width="12.375" style="0" customWidth="1"/>
    <col min="10" max="10" width="0.12890625" style="0" hidden="1" customWidth="1"/>
    <col min="11" max="11" width="10.625" style="0" customWidth="1"/>
    <col min="12" max="12" width="15.125" style="0" customWidth="1"/>
    <col min="13" max="13" width="11.25390625" style="0" customWidth="1"/>
    <col min="14" max="14" width="11.125" style="0" customWidth="1"/>
    <col min="15" max="15" width="14.25390625" style="0" customWidth="1"/>
    <col min="16" max="16" width="10.375" style="0" customWidth="1"/>
    <col min="17" max="17" width="10.75390625" style="0" customWidth="1"/>
    <col min="18" max="18" width="10.625" style="0" customWidth="1"/>
    <col min="19" max="19" width="10.25390625" style="0" bestFit="1" customWidth="1"/>
  </cols>
  <sheetData>
    <row r="1" spans="1:18" ht="15.75">
      <c r="A1" s="26"/>
      <c r="B1" s="48"/>
      <c r="C1" s="186" t="s">
        <v>11</v>
      </c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49"/>
      <c r="O1" s="49"/>
      <c r="P1" s="26"/>
      <c r="Q1" s="26"/>
      <c r="R1" s="26"/>
    </row>
    <row r="2" spans="1:18" ht="15.75">
      <c r="A2" s="26"/>
      <c r="B2" s="187" t="s">
        <v>126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</row>
    <row r="3" spans="1:18" ht="18" customHeight="1">
      <c r="A3" s="188" t="s">
        <v>3</v>
      </c>
      <c r="B3" s="181" t="s">
        <v>4</v>
      </c>
      <c r="C3" s="181" t="s">
        <v>115</v>
      </c>
      <c r="D3" s="181" t="s">
        <v>24</v>
      </c>
      <c r="E3" s="188" t="s">
        <v>116</v>
      </c>
      <c r="F3" s="188" t="s">
        <v>99</v>
      </c>
      <c r="G3" s="181" t="s">
        <v>119</v>
      </c>
      <c r="H3" s="181" t="s">
        <v>117</v>
      </c>
      <c r="I3" s="181"/>
      <c r="J3" s="181"/>
      <c r="K3" s="181" t="s">
        <v>111</v>
      </c>
      <c r="L3" s="181"/>
      <c r="M3" s="181" t="s">
        <v>122</v>
      </c>
      <c r="N3" s="181" t="s">
        <v>123</v>
      </c>
      <c r="O3" s="181" t="s">
        <v>30</v>
      </c>
      <c r="P3" s="181" t="s">
        <v>9</v>
      </c>
      <c r="Q3" s="181"/>
      <c r="R3" s="181"/>
    </row>
    <row r="4" spans="1:18" ht="98.25" customHeight="1">
      <c r="A4" s="189"/>
      <c r="B4" s="190"/>
      <c r="C4" s="181"/>
      <c r="D4" s="181"/>
      <c r="E4" s="191"/>
      <c r="F4" s="191"/>
      <c r="G4" s="181"/>
      <c r="H4" s="47" t="s">
        <v>121</v>
      </c>
      <c r="I4" s="47" t="s">
        <v>10</v>
      </c>
      <c r="J4" s="47" t="s">
        <v>29</v>
      </c>
      <c r="K4" s="47" t="s">
        <v>121</v>
      </c>
      <c r="L4" s="47" t="s">
        <v>30</v>
      </c>
      <c r="M4" s="181"/>
      <c r="N4" s="181"/>
      <c r="O4" s="181"/>
      <c r="P4" s="122" t="s">
        <v>114</v>
      </c>
      <c r="Q4" s="122" t="s">
        <v>120</v>
      </c>
      <c r="R4" s="122" t="s">
        <v>131</v>
      </c>
    </row>
    <row r="5" spans="1:18" ht="21" customHeight="1">
      <c r="A5" s="51" t="s">
        <v>21</v>
      </c>
      <c r="B5" s="52"/>
      <c r="C5" s="84">
        <f aca="true" t="shared" si="0" ref="C5:H5">C6+C15+C17+C22+C23+C10</f>
        <v>885.6999999999999</v>
      </c>
      <c r="D5" s="84">
        <f t="shared" si="0"/>
        <v>148.87</v>
      </c>
      <c r="E5" s="84">
        <f t="shared" si="0"/>
        <v>1034.5700000000002</v>
      </c>
      <c r="F5" s="84" t="e">
        <f t="shared" si="0"/>
        <v>#REF!</v>
      </c>
      <c r="G5" s="84">
        <f t="shared" si="0"/>
        <v>651.5</v>
      </c>
      <c r="H5" s="84">
        <f t="shared" si="0"/>
        <v>713.3</v>
      </c>
      <c r="I5" s="64">
        <f aca="true" t="shared" si="1" ref="I5:I39">IF(E5&gt;0,H5/E5,0)</f>
        <v>0.6894651884357751</v>
      </c>
      <c r="J5" s="64" t="e">
        <f>IF(F5&gt;0,H5/F5,0)</f>
        <v>#REF!</v>
      </c>
      <c r="K5" s="84">
        <f>K6+K15+K17+K22+K23+K10</f>
        <v>399.3</v>
      </c>
      <c r="L5" s="64">
        <f>IF(K5&gt;0,H5/K5,0)</f>
        <v>1.7863761582769846</v>
      </c>
      <c r="M5" s="84">
        <f>M6+M15+M17+M22+M23+M10</f>
        <v>61.800000000000004</v>
      </c>
      <c r="N5" s="84">
        <f>N6+N15+N17+N22+N23+N10</f>
        <v>63.900000000000006</v>
      </c>
      <c r="O5" s="64">
        <f aca="true" t="shared" si="2" ref="O5:O31">IF(N5&gt;0,M5/N5,0)</f>
        <v>0.9671361502347418</v>
      </c>
      <c r="P5" s="84">
        <f>P6+P15+P17+P22+P23+P10</f>
        <v>24.9</v>
      </c>
      <c r="Q5" s="84">
        <f>Q6+Q15+Q17+Q22+Q23+Q10</f>
        <v>13.799999999999999</v>
      </c>
      <c r="R5" s="84">
        <f>R6+R15+R17+R22+R23+R10</f>
        <v>13.999999999999998</v>
      </c>
    </row>
    <row r="6" spans="1:19" ht="16.5" customHeight="1">
      <c r="A6" s="9" t="s">
        <v>63</v>
      </c>
      <c r="B6" s="53">
        <v>1010200001</v>
      </c>
      <c r="C6" s="85">
        <f>C7+C8+C9</f>
        <v>379.8</v>
      </c>
      <c r="D6" s="85">
        <f>D7+D8+D9</f>
        <v>0</v>
      </c>
      <c r="E6" s="85">
        <f>E7+E8+E9</f>
        <v>379.8</v>
      </c>
      <c r="F6" s="85" t="e">
        <f>F7+F8+F9+#REF!</f>
        <v>#REF!</v>
      </c>
      <c r="G6" s="85">
        <f>G7+G8+G9</f>
        <v>163.8</v>
      </c>
      <c r="H6" s="85">
        <f>H7+H8+H9</f>
        <v>204</v>
      </c>
      <c r="I6" s="66">
        <f t="shared" si="1"/>
        <v>0.5371248025276462</v>
      </c>
      <c r="J6" s="66" t="e">
        <f>IF(F6&gt;0,H6/F6,0)</f>
        <v>#REF!</v>
      </c>
      <c r="K6" s="85">
        <f>K7+K8+K9</f>
        <v>220.9</v>
      </c>
      <c r="L6" s="66">
        <f aca="true" t="shared" si="3" ref="L6:L39">IF(K6&gt;0,H6/K6,0)</f>
        <v>0.9234947940244455</v>
      </c>
      <c r="M6" s="85">
        <f>M7+M8+M9</f>
        <v>40.2</v>
      </c>
      <c r="N6" s="85">
        <f>N7+N8+N9</f>
        <v>41.1</v>
      </c>
      <c r="O6" s="66">
        <f t="shared" si="2"/>
        <v>0.9781021897810219</v>
      </c>
      <c r="P6" s="85">
        <f>P7+P8+P9</f>
        <v>0.4</v>
      </c>
      <c r="Q6" s="85">
        <f>Q7+Q8+Q9</f>
        <v>0.7</v>
      </c>
      <c r="R6" s="85">
        <f>R7+R8+R9</f>
        <v>0.7</v>
      </c>
      <c r="S6" s="26"/>
    </row>
    <row r="7" spans="1:19" ht="18">
      <c r="A7" s="10" t="s">
        <v>44</v>
      </c>
      <c r="B7" s="13">
        <v>1010201001</v>
      </c>
      <c r="C7" s="71">
        <v>378</v>
      </c>
      <c r="D7" s="68"/>
      <c r="E7" s="67">
        <f>C7+D7</f>
        <v>378</v>
      </c>
      <c r="F7" s="67"/>
      <c r="G7" s="68">
        <v>163.8</v>
      </c>
      <c r="H7" s="69">
        <f>G7+M7</f>
        <v>204</v>
      </c>
      <c r="I7" s="70">
        <f t="shared" si="1"/>
        <v>0.5396825396825397</v>
      </c>
      <c r="J7" s="70">
        <f aca="true" t="shared" si="4" ref="J7:J39">IF(F7&gt;0,H7/F7,0)</f>
        <v>0</v>
      </c>
      <c r="K7" s="68">
        <v>220.8</v>
      </c>
      <c r="L7" s="70">
        <f t="shared" si="3"/>
        <v>0.9239130434782609</v>
      </c>
      <c r="M7" s="68">
        <v>40.2</v>
      </c>
      <c r="N7" s="68">
        <v>41.1</v>
      </c>
      <c r="O7" s="70">
        <f t="shared" si="2"/>
        <v>0.9781021897810219</v>
      </c>
      <c r="P7" s="71">
        <v>0.3</v>
      </c>
      <c r="Q7" s="71">
        <v>0.6</v>
      </c>
      <c r="R7" s="71">
        <v>0.6</v>
      </c>
      <c r="S7" s="171"/>
    </row>
    <row r="8" spans="1:19" ht="18">
      <c r="A8" s="10" t="s">
        <v>43</v>
      </c>
      <c r="B8" s="13">
        <v>1010202001</v>
      </c>
      <c r="C8" s="71"/>
      <c r="D8" s="68"/>
      <c r="E8" s="67">
        <f>C8+D8</f>
        <v>0</v>
      </c>
      <c r="F8" s="67"/>
      <c r="G8" s="71"/>
      <c r="H8" s="69">
        <f>G8+M8</f>
        <v>0</v>
      </c>
      <c r="I8" s="70">
        <f t="shared" si="1"/>
        <v>0</v>
      </c>
      <c r="J8" s="70">
        <f t="shared" si="4"/>
        <v>0</v>
      </c>
      <c r="K8" s="71"/>
      <c r="L8" s="70">
        <f>IF(K8&gt;0,H8/K8,0)</f>
        <v>0</v>
      </c>
      <c r="M8" s="71"/>
      <c r="N8" s="71"/>
      <c r="O8" s="70">
        <f>IF(N8&gt;0,M8/N8,0)</f>
        <v>0</v>
      </c>
      <c r="P8" s="67"/>
      <c r="Q8" s="67"/>
      <c r="R8" s="67"/>
      <c r="S8" s="26"/>
    </row>
    <row r="9" spans="1:19" ht="21" customHeight="1">
      <c r="A9" s="10" t="s">
        <v>42</v>
      </c>
      <c r="B9" s="13">
        <v>1010203001</v>
      </c>
      <c r="C9" s="71">
        <v>1.8</v>
      </c>
      <c r="D9" s="71"/>
      <c r="E9" s="67">
        <f>C9+D9</f>
        <v>1.8</v>
      </c>
      <c r="F9" s="67"/>
      <c r="G9" s="71"/>
      <c r="H9" s="69">
        <f>G9+M9</f>
        <v>0</v>
      </c>
      <c r="I9" s="70">
        <f t="shared" si="1"/>
        <v>0</v>
      </c>
      <c r="J9" s="70">
        <f t="shared" si="4"/>
        <v>0</v>
      </c>
      <c r="K9" s="71">
        <v>0.1</v>
      </c>
      <c r="L9" s="70">
        <f t="shared" si="3"/>
        <v>0</v>
      </c>
      <c r="M9" s="71"/>
      <c r="N9" s="71"/>
      <c r="O9" s="70">
        <f t="shared" si="2"/>
        <v>0</v>
      </c>
      <c r="P9" s="71">
        <v>0.1</v>
      </c>
      <c r="Q9" s="71">
        <v>0.1</v>
      </c>
      <c r="R9" s="71">
        <v>0.1</v>
      </c>
      <c r="S9" s="26"/>
    </row>
    <row r="10" spans="1:19" ht="30" customHeight="1">
      <c r="A10" s="11" t="s">
        <v>48</v>
      </c>
      <c r="B10" s="19">
        <v>1030200001</v>
      </c>
      <c r="C10" s="72">
        <f aca="true" t="shared" si="5" ref="C10:H10">SUM(C11:C14)</f>
        <v>355.9</v>
      </c>
      <c r="D10" s="72">
        <f t="shared" si="5"/>
        <v>0</v>
      </c>
      <c r="E10" s="72">
        <f t="shared" si="5"/>
        <v>355.9</v>
      </c>
      <c r="F10" s="72"/>
      <c r="G10" s="72">
        <f>SUM(G11:G14)</f>
        <v>123.60000000000001</v>
      </c>
      <c r="H10" s="72">
        <f t="shared" si="5"/>
        <v>145</v>
      </c>
      <c r="I10" s="66">
        <f t="shared" si="1"/>
        <v>0.4074178139926946</v>
      </c>
      <c r="J10" s="66">
        <f>IF(F10&gt;0,H10/F10,0)</f>
        <v>0</v>
      </c>
      <c r="K10" s="72">
        <f>SUM(K11:K14)</f>
        <v>146</v>
      </c>
      <c r="L10" s="66">
        <f t="shared" si="3"/>
        <v>0.9931506849315068</v>
      </c>
      <c r="M10" s="72">
        <f>SUM(M11:M14)</f>
        <v>21.4</v>
      </c>
      <c r="N10" s="72">
        <f>SUM(N11:N14)</f>
        <v>22.7</v>
      </c>
      <c r="O10" s="66">
        <f t="shared" si="2"/>
        <v>0.9427312775330396</v>
      </c>
      <c r="P10" s="72">
        <f>SUM(P11:P14)</f>
        <v>0</v>
      </c>
      <c r="Q10" s="72">
        <f>SUM(Q11:Q14)</f>
        <v>0</v>
      </c>
      <c r="R10" s="72">
        <f>SUM(R11:R14)</f>
        <v>0</v>
      </c>
      <c r="S10" s="26"/>
    </row>
    <row r="11" spans="1:19" ht="22.5" customHeight="1">
      <c r="A11" s="12" t="s">
        <v>49</v>
      </c>
      <c r="B11" s="12">
        <v>1030223101</v>
      </c>
      <c r="C11" s="71">
        <v>163.1</v>
      </c>
      <c r="D11" s="71"/>
      <c r="E11" s="67">
        <f>C11+D11</f>
        <v>163.1</v>
      </c>
      <c r="F11" s="67"/>
      <c r="G11" s="71">
        <v>58.1</v>
      </c>
      <c r="H11" s="69">
        <f>G11+M11</f>
        <v>68.7</v>
      </c>
      <c r="I11" s="70">
        <f t="shared" si="1"/>
        <v>0.42121397915389336</v>
      </c>
      <c r="J11" s="70">
        <f>IF(F11&gt;0,H11/F11,0)</f>
        <v>0</v>
      </c>
      <c r="K11" s="71">
        <v>66.3</v>
      </c>
      <c r="L11" s="70">
        <f t="shared" si="3"/>
        <v>1.0361990950226245</v>
      </c>
      <c r="M11" s="71">
        <v>10.6</v>
      </c>
      <c r="N11" s="71">
        <v>10.6</v>
      </c>
      <c r="O11" s="70">
        <f t="shared" si="2"/>
        <v>1</v>
      </c>
      <c r="P11" s="71"/>
      <c r="Q11" s="71"/>
      <c r="R11" s="71"/>
      <c r="S11" s="26"/>
    </row>
    <row r="12" spans="1:19" ht="18.75" customHeight="1">
      <c r="A12" s="12" t="s">
        <v>50</v>
      </c>
      <c r="B12" s="12">
        <v>1030224101</v>
      </c>
      <c r="C12" s="71">
        <v>0.8</v>
      </c>
      <c r="D12" s="71"/>
      <c r="E12" s="67">
        <f>C12+D12</f>
        <v>0.8</v>
      </c>
      <c r="F12" s="67"/>
      <c r="G12" s="71">
        <v>0.4</v>
      </c>
      <c r="H12" s="69">
        <f>G12+M12</f>
        <v>0.5</v>
      </c>
      <c r="I12" s="70">
        <f t="shared" si="1"/>
        <v>0.625</v>
      </c>
      <c r="J12" s="70">
        <f>IF(F12&gt;0,H12/F12,0)</f>
        <v>0</v>
      </c>
      <c r="K12" s="71">
        <v>0.5</v>
      </c>
      <c r="L12" s="70">
        <f t="shared" si="3"/>
        <v>1</v>
      </c>
      <c r="M12" s="71">
        <v>0.1</v>
      </c>
      <c r="N12" s="71">
        <v>0.1</v>
      </c>
      <c r="O12" s="70">
        <f t="shared" si="2"/>
        <v>1</v>
      </c>
      <c r="P12" s="71"/>
      <c r="Q12" s="71"/>
      <c r="R12" s="71"/>
      <c r="S12" s="26"/>
    </row>
    <row r="13" spans="1:19" ht="19.5" customHeight="1">
      <c r="A13" s="12" t="s">
        <v>51</v>
      </c>
      <c r="B13" s="12">
        <v>1030225101</v>
      </c>
      <c r="C13" s="71">
        <v>213</v>
      </c>
      <c r="D13" s="71"/>
      <c r="E13" s="67">
        <f>C13+D13</f>
        <v>213</v>
      </c>
      <c r="F13" s="67"/>
      <c r="G13" s="71">
        <v>77.3</v>
      </c>
      <c r="H13" s="69">
        <f>G13+M13</f>
        <v>89.5</v>
      </c>
      <c r="I13" s="70">
        <f t="shared" si="1"/>
        <v>0.42018779342723006</v>
      </c>
      <c r="J13" s="70">
        <f>IF(F13&gt;0,H13/F13,0)</f>
        <v>0</v>
      </c>
      <c r="K13" s="71">
        <v>91.8</v>
      </c>
      <c r="L13" s="70">
        <f t="shared" si="3"/>
        <v>0.9749455337690632</v>
      </c>
      <c r="M13" s="71">
        <v>12.2</v>
      </c>
      <c r="N13" s="71">
        <v>14.5</v>
      </c>
      <c r="O13" s="70">
        <f t="shared" si="2"/>
        <v>0.8413793103448275</v>
      </c>
      <c r="P13" s="71"/>
      <c r="Q13" s="71"/>
      <c r="R13" s="71"/>
      <c r="S13" s="26"/>
    </row>
    <row r="14" spans="1:19" ht="18.75" customHeight="1">
      <c r="A14" s="12" t="s">
        <v>52</v>
      </c>
      <c r="B14" s="12">
        <v>1030226101</v>
      </c>
      <c r="C14" s="71">
        <v>-21</v>
      </c>
      <c r="D14" s="71"/>
      <c r="E14" s="67">
        <f>C14+D14</f>
        <v>-21</v>
      </c>
      <c r="F14" s="67"/>
      <c r="G14" s="71">
        <v>-12.2</v>
      </c>
      <c r="H14" s="69">
        <f>G14+M14</f>
        <v>-13.7</v>
      </c>
      <c r="I14" s="70">
        <f>H14/E14</f>
        <v>0.6523809523809524</v>
      </c>
      <c r="J14" s="70">
        <f>IF(F14&gt;0,H14/F14,0)</f>
        <v>0</v>
      </c>
      <c r="K14" s="71">
        <v>-12.6</v>
      </c>
      <c r="L14" s="70">
        <f t="shared" si="3"/>
        <v>0</v>
      </c>
      <c r="M14" s="71">
        <v>-1.5</v>
      </c>
      <c r="N14" s="71">
        <v>-2.5</v>
      </c>
      <c r="O14" s="70">
        <f t="shared" si="2"/>
        <v>0</v>
      </c>
      <c r="P14" s="71"/>
      <c r="Q14" s="71"/>
      <c r="R14" s="71"/>
      <c r="S14" s="26"/>
    </row>
    <row r="15" spans="1:19" ht="18">
      <c r="A15" s="9" t="s">
        <v>70</v>
      </c>
      <c r="B15" s="30">
        <v>1050000000</v>
      </c>
      <c r="C15" s="72">
        <f aca="true" t="shared" si="6" ref="C15:H15">C16</f>
        <v>50</v>
      </c>
      <c r="D15" s="129">
        <f t="shared" si="6"/>
        <v>148.87</v>
      </c>
      <c r="E15" s="129">
        <f t="shared" si="6"/>
        <v>198.87</v>
      </c>
      <c r="F15" s="73">
        <f t="shared" si="6"/>
        <v>0</v>
      </c>
      <c r="G15" s="72">
        <f>G16</f>
        <v>347.1</v>
      </c>
      <c r="H15" s="73">
        <f t="shared" si="6"/>
        <v>347.1</v>
      </c>
      <c r="I15" s="66">
        <f t="shared" si="1"/>
        <v>1.7453612912958214</v>
      </c>
      <c r="J15" s="66">
        <f t="shared" si="4"/>
        <v>0</v>
      </c>
      <c r="K15" s="72">
        <f>K16</f>
        <v>23</v>
      </c>
      <c r="L15" s="66">
        <f t="shared" si="3"/>
        <v>15.091304347826087</v>
      </c>
      <c r="M15" s="72">
        <f>M16</f>
        <v>0</v>
      </c>
      <c r="N15" s="72">
        <f>N16</f>
        <v>0</v>
      </c>
      <c r="O15" s="66">
        <f t="shared" si="2"/>
        <v>0</v>
      </c>
      <c r="P15" s="72">
        <f>P16</f>
        <v>0</v>
      </c>
      <c r="Q15" s="72">
        <f>Q16</f>
        <v>0</v>
      </c>
      <c r="R15" s="72">
        <f>R16</f>
        <v>0</v>
      </c>
      <c r="S15" s="26"/>
    </row>
    <row r="16" spans="1:19" ht="18">
      <c r="A16" s="13" t="s">
        <v>7</v>
      </c>
      <c r="B16" s="13">
        <v>1050300001</v>
      </c>
      <c r="C16" s="71">
        <v>50</v>
      </c>
      <c r="D16" s="83">
        <v>148.87</v>
      </c>
      <c r="E16" s="67">
        <f>C16+D16</f>
        <v>198.87</v>
      </c>
      <c r="F16" s="67">
        <f>1-1</f>
        <v>0</v>
      </c>
      <c r="G16" s="71">
        <v>347.1</v>
      </c>
      <c r="H16" s="69">
        <f>G16+M16</f>
        <v>347.1</v>
      </c>
      <c r="I16" s="70">
        <f t="shared" si="1"/>
        <v>1.7453612912958214</v>
      </c>
      <c r="J16" s="70">
        <f t="shared" si="4"/>
        <v>0</v>
      </c>
      <c r="K16" s="71">
        <v>23</v>
      </c>
      <c r="L16" s="70">
        <f t="shared" si="3"/>
        <v>15.091304347826087</v>
      </c>
      <c r="M16" s="71"/>
      <c r="N16" s="71"/>
      <c r="O16" s="70">
        <f t="shared" si="2"/>
        <v>0</v>
      </c>
      <c r="P16" s="71"/>
      <c r="Q16" s="71"/>
      <c r="R16" s="71"/>
      <c r="S16" s="26"/>
    </row>
    <row r="17" spans="1:19" ht="18">
      <c r="A17" s="9" t="s">
        <v>71</v>
      </c>
      <c r="B17" s="30">
        <v>1060000000</v>
      </c>
      <c r="C17" s="72">
        <f aca="true" t="shared" si="7" ref="C17:H17">C18+C21</f>
        <v>99</v>
      </c>
      <c r="D17" s="126">
        <f t="shared" si="7"/>
        <v>0</v>
      </c>
      <c r="E17" s="73">
        <f t="shared" si="7"/>
        <v>99</v>
      </c>
      <c r="F17" s="73">
        <f t="shared" si="7"/>
        <v>0</v>
      </c>
      <c r="G17" s="72">
        <f>G18+G21</f>
        <v>12.1</v>
      </c>
      <c r="H17" s="73">
        <f t="shared" si="7"/>
        <v>12.3</v>
      </c>
      <c r="I17" s="66">
        <f t="shared" si="1"/>
        <v>0.12424242424242425</v>
      </c>
      <c r="J17" s="66">
        <f t="shared" si="4"/>
        <v>0</v>
      </c>
      <c r="K17" s="72">
        <f>K18+K21</f>
        <v>9</v>
      </c>
      <c r="L17" s="66">
        <f t="shared" si="3"/>
        <v>1.3666666666666667</v>
      </c>
      <c r="M17" s="72">
        <f>M18+M21</f>
        <v>0.2</v>
      </c>
      <c r="N17" s="72">
        <f>N18+N21</f>
        <v>0.1</v>
      </c>
      <c r="O17" s="66">
        <f t="shared" si="2"/>
        <v>2</v>
      </c>
      <c r="P17" s="72">
        <f>P18+P21</f>
        <v>24.5</v>
      </c>
      <c r="Q17" s="72">
        <f>Q18+Q21</f>
        <v>13.1</v>
      </c>
      <c r="R17" s="72">
        <f>R18+R21</f>
        <v>13.299999999999999</v>
      </c>
      <c r="S17" s="26"/>
    </row>
    <row r="18" spans="1:19" ht="18">
      <c r="A18" s="13" t="s">
        <v>13</v>
      </c>
      <c r="B18" s="13">
        <v>1060600000</v>
      </c>
      <c r="C18" s="74">
        <f aca="true" t="shared" si="8" ref="C18:H18">C19+C20</f>
        <v>84</v>
      </c>
      <c r="D18" s="74">
        <f t="shared" si="8"/>
        <v>0</v>
      </c>
      <c r="E18" s="68">
        <f t="shared" si="8"/>
        <v>84</v>
      </c>
      <c r="F18" s="68">
        <f t="shared" si="8"/>
        <v>0</v>
      </c>
      <c r="G18" s="74">
        <f>G19+G20</f>
        <v>12</v>
      </c>
      <c r="H18" s="68">
        <f t="shared" si="8"/>
        <v>12</v>
      </c>
      <c r="I18" s="70">
        <f t="shared" si="1"/>
        <v>0.14285714285714285</v>
      </c>
      <c r="J18" s="70">
        <f t="shared" si="4"/>
        <v>0</v>
      </c>
      <c r="K18" s="74">
        <f>K19+K20</f>
        <v>10.5</v>
      </c>
      <c r="L18" s="70">
        <f t="shared" si="3"/>
        <v>1.1428571428571428</v>
      </c>
      <c r="M18" s="74">
        <f>M19+M20</f>
        <v>0</v>
      </c>
      <c r="N18" s="74">
        <f>N19+N20</f>
        <v>0.1</v>
      </c>
      <c r="O18" s="70">
        <f t="shared" si="2"/>
        <v>0</v>
      </c>
      <c r="P18" s="71">
        <f>P19+P20</f>
        <v>22.8</v>
      </c>
      <c r="Q18" s="71">
        <f>Q19+Q20</f>
        <v>11.9</v>
      </c>
      <c r="R18" s="71">
        <f>R19+R20</f>
        <v>12.1</v>
      </c>
      <c r="S18" s="26"/>
    </row>
    <row r="19" spans="1:19" ht="18">
      <c r="A19" s="13" t="s">
        <v>100</v>
      </c>
      <c r="B19" s="13">
        <v>1060603310</v>
      </c>
      <c r="C19" s="71">
        <v>33</v>
      </c>
      <c r="D19" s="68"/>
      <c r="E19" s="67">
        <f>C19+D19</f>
        <v>33</v>
      </c>
      <c r="F19" s="67"/>
      <c r="G19" s="71">
        <v>8.1</v>
      </c>
      <c r="H19" s="69">
        <f>G19+M19</f>
        <v>8.1</v>
      </c>
      <c r="I19" s="70">
        <f t="shared" si="1"/>
        <v>0.24545454545454545</v>
      </c>
      <c r="J19" s="70">
        <f t="shared" si="4"/>
        <v>0</v>
      </c>
      <c r="K19" s="71">
        <v>7.6</v>
      </c>
      <c r="L19" s="70">
        <f t="shared" si="3"/>
        <v>1.0657894736842106</v>
      </c>
      <c r="M19" s="71"/>
      <c r="N19" s="71"/>
      <c r="O19" s="70">
        <f t="shared" si="2"/>
        <v>0</v>
      </c>
      <c r="P19" s="71"/>
      <c r="Q19" s="71"/>
      <c r="R19" s="71"/>
      <c r="S19" s="26"/>
    </row>
    <row r="20" spans="1:20" ht="18">
      <c r="A20" s="13" t="s">
        <v>101</v>
      </c>
      <c r="B20" s="13">
        <v>1060604310</v>
      </c>
      <c r="C20" s="71">
        <v>51</v>
      </c>
      <c r="D20" s="68"/>
      <c r="E20" s="67">
        <f>C20+D20</f>
        <v>51</v>
      </c>
      <c r="F20" s="67"/>
      <c r="G20" s="71">
        <v>3.9</v>
      </c>
      <c r="H20" s="69">
        <f>G20+M20</f>
        <v>3.9</v>
      </c>
      <c r="I20" s="70">
        <f t="shared" si="1"/>
        <v>0.07647058823529411</v>
      </c>
      <c r="J20" s="70">
        <f t="shared" si="4"/>
        <v>0</v>
      </c>
      <c r="K20" s="71">
        <v>2.9</v>
      </c>
      <c r="L20" s="70">
        <f t="shared" si="3"/>
        <v>1.3448275862068966</v>
      </c>
      <c r="M20" s="71"/>
      <c r="N20" s="71">
        <v>0.1</v>
      </c>
      <c r="O20" s="70">
        <f t="shared" si="2"/>
        <v>0</v>
      </c>
      <c r="P20" s="71">
        <v>22.8</v>
      </c>
      <c r="Q20" s="71">
        <v>11.9</v>
      </c>
      <c r="R20" s="71">
        <v>12.1</v>
      </c>
      <c r="S20" s="172"/>
      <c r="T20" s="158"/>
    </row>
    <row r="21" spans="1:20" ht="18">
      <c r="A21" s="13" t="s">
        <v>12</v>
      </c>
      <c r="B21" s="13">
        <v>1060103010</v>
      </c>
      <c r="C21" s="71">
        <v>15</v>
      </c>
      <c r="D21" s="68"/>
      <c r="E21" s="67">
        <f>C21+D21</f>
        <v>15</v>
      </c>
      <c r="F21" s="67"/>
      <c r="G21" s="71">
        <v>0.1</v>
      </c>
      <c r="H21" s="69">
        <f>G21+M21</f>
        <v>0.30000000000000004</v>
      </c>
      <c r="I21" s="70">
        <f t="shared" si="1"/>
        <v>0.020000000000000004</v>
      </c>
      <c r="J21" s="70">
        <f t="shared" si="4"/>
        <v>0</v>
      </c>
      <c r="K21" s="71">
        <v>-1.5</v>
      </c>
      <c r="L21" s="70">
        <f t="shared" si="3"/>
        <v>0</v>
      </c>
      <c r="M21" s="71">
        <v>0.2</v>
      </c>
      <c r="N21" s="71"/>
      <c r="O21" s="70">
        <f t="shared" si="2"/>
        <v>0</v>
      </c>
      <c r="P21" s="71">
        <v>1.7</v>
      </c>
      <c r="Q21" s="71">
        <v>1.2</v>
      </c>
      <c r="R21" s="71">
        <v>1.2</v>
      </c>
      <c r="S21" s="172"/>
      <c r="T21" s="158"/>
    </row>
    <row r="22" spans="1:19" ht="18">
      <c r="A22" s="30" t="s">
        <v>72</v>
      </c>
      <c r="B22" s="30">
        <v>1080402001</v>
      </c>
      <c r="C22" s="72">
        <v>1</v>
      </c>
      <c r="D22" s="73"/>
      <c r="E22" s="65">
        <f>C22+D22</f>
        <v>1</v>
      </c>
      <c r="F22" s="65"/>
      <c r="G22" s="72">
        <v>4.9</v>
      </c>
      <c r="H22" s="75">
        <f>G22+M22</f>
        <v>4.9</v>
      </c>
      <c r="I22" s="66">
        <f t="shared" si="1"/>
        <v>4.9</v>
      </c>
      <c r="J22" s="66">
        <f t="shared" si="4"/>
        <v>0</v>
      </c>
      <c r="K22" s="72">
        <v>0.4</v>
      </c>
      <c r="L22" s="66">
        <f t="shared" si="3"/>
        <v>12.25</v>
      </c>
      <c r="M22" s="72"/>
      <c r="N22" s="72"/>
      <c r="O22" s="66">
        <f t="shared" si="2"/>
        <v>0</v>
      </c>
      <c r="P22" s="72"/>
      <c r="Q22" s="72"/>
      <c r="R22" s="72"/>
      <c r="S22" s="26"/>
    </row>
    <row r="23" spans="1:19" ht="2.25" customHeight="1" hidden="1">
      <c r="A23" s="30" t="s">
        <v>73</v>
      </c>
      <c r="B23" s="30">
        <v>1090405010</v>
      </c>
      <c r="C23" s="72"/>
      <c r="D23" s="72"/>
      <c r="E23" s="65">
        <f>C23+D23</f>
        <v>0</v>
      </c>
      <c r="F23" s="65"/>
      <c r="G23" s="72"/>
      <c r="H23" s="75">
        <f>G23+M23</f>
        <v>0</v>
      </c>
      <c r="I23" s="66">
        <f t="shared" si="1"/>
        <v>0</v>
      </c>
      <c r="J23" s="66">
        <f t="shared" si="4"/>
        <v>0</v>
      </c>
      <c r="K23" s="72"/>
      <c r="L23" s="66">
        <f t="shared" si="3"/>
        <v>0</v>
      </c>
      <c r="M23" s="72"/>
      <c r="N23" s="72"/>
      <c r="O23" s="66">
        <f t="shared" si="2"/>
        <v>0</v>
      </c>
      <c r="P23" s="72"/>
      <c r="Q23" s="72"/>
      <c r="R23" s="72"/>
      <c r="S23" s="26"/>
    </row>
    <row r="24" spans="1:19" ht="18">
      <c r="A24" s="14" t="s">
        <v>22</v>
      </c>
      <c r="B24" s="32"/>
      <c r="C24" s="86">
        <f aca="true" t="shared" si="9" ref="C24:H24">C25+C28+C32+C29+C31+C30</f>
        <v>119</v>
      </c>
      <c r="D24" s="152">
        <f t="shared" si="9"/>
        <v>280</v>
      </c>
      <c r="E24" s="152">
        <f t="shared" si="9"/>
        <v>399</v>
      </c>
      <c r="F24" s="86">
        <f t="shared" si="9"/>
        <v>0</v>
      </c>
      <c r="G24" s="86">
        <f>G25+G28+G32+G29+G31+G30</f>
        <v>111.7</v>
      </c>
      <c r="H24" s="86">
        <f t="shared" si="9"/>
        <v>160.5</v>
      </c>
      <c r="I24" s="64">
        <f t="shared" si="1"/>
        <v>0.40225563909774437</v>
      </c>
      <c r="J24" s="64">
        <f t="shared" si="4"/>
        <v>0</v>
      </c>
      <c r="K24" s="86">
        <f>K25+K28+K32+K29+K31+K30</f>
        <v>141.4</v>
      </c>
      <c r="L24" s="64">
        <f t="shared" si="3"/>
        <v>1.1350777934936351</v>
      </c>
      <c r="M24" s="86">
        <f>M25+M28+M32+M29+M31+M30</f>
        <v>48.800000000000004</v>
      </c>
      <c r="N24" s="86">
        <f>N25+N28+N32+N29+N31+N30</f>
        <v>32.7</v>
      </c>
      <c r="O24" s="64">
        <f t="shared" si="2"/>
        <v>1.492354740061162</v>
      </c>
      <c r="P24" s="76">
        <f>P25+P28+P31</f>
        <v>0</v>
      </c>
      <c r="Q24" s="76">
        <f>Q25+Q28+Q31</f>
        <v>0</v>
      </c>
      <c r="R24" s="76">
        <f>R25+R28+R31</f>
        <v>0</v>
      </c>
      <c r="S24" s="26"/>
    </row>
    <row r="25" spans="1:19" ht="18">
      <c r="A25" s="9" t="s">
        <v>74</v>
      </c>
      <c r="B25" s="30">
        <v>1110000000</v>
      </c>
      <c r="C25" s="72">
        <f aca="true" t="shared" si="10" ref="C25:H25">C26+C27</f>
        <v>19</v>
      </c>
      <c r="D25" s="72">
        <f t="shared" si="10"/>
        <v>0</v>
      </c>
      <c r="E25" s="72">
        <f t="shared" si="10"/>
        <v>19</v>
      </c>
      <c r="F25" s="72">
        <f t="shared" si="10"/>
        <v>0</v>
      </c>
      <c r="G25" s="72">
        <f>G26+G27</f>
        <v>4.4</v>
      </c>
      <c r="H25" s="72">
        <f t="shared" si="10"/>
        <v>11.4</v>
      </c>
      <c r="I25" s="87">
        <f t="shared" si="1"/>
        <v>0.6</v>
      </c>
      <c r="J25" s="87">
        <f t="shared" si="4"/>
        <v>0</v>
      </c>
      <c r="K25" s="72">
        <f>K26+K27</f>
        <v>9.8</v>
      </c>
      <c r="L25" s="87">
        <f t="shared" si="3"/>
        <v>1.163265306122449</v>
      </c>
      <c r="M25" s="72">
        <f>M26+M27</f>
        <v>7</v>
      </c>
      <c r="N25" s="72">
        <f>N26+N27</f>
        <v>2.2</v>
      </c>
      <c r="O25" s="87">
        <f t="shared" si="2"/>
        <v>3.1818181818181817</v>
      </c>
      <c r="P25" s="72">
        <f>P26+P27</f>
        <v>0</v>
      </c>
      <c r="Q25" s="72">
        <f>Q26+Q27</f>
        <v>0</v>
      </c>
      <c r="R25" s="72">
        <f>R26+R27</f>
        <v>0</v>
      </c>
      <c r="S25" s="26"/>
    </row>
    <row r="26" spans="1:19" ht="3" customHeight="1" hidden="1">
      <c r="A26" s="13" t="s">
        <v>26</v>
      </c>
      <c r="B26" s="13">
        <v>1110501013</v>
      </c>
      <c r="C26" s="71"/>
      <c r="D26" s="68"/>
      <c r="E26" s="71">
        <f>C26+D26</f>
        <v>0</v>
      </c>
      <c r="F26" s="71"/>
      <c r="G26" s="71"/>
      <c r="H26" s="68">
        <f aca="true" t="shared" si="11" ref="H26:H31">G26+M26</f>
        <v>0</v>
      </c>
      <c r="I26" s="77">
        <f t="shared" si="1"/>
        <v>0</v>
      </c>
      <c r="J26" s="77">
        <f t="shared" si="4"/>
        <v>0</v>
      </c>
      <c r="K26" s="71"/>
      <c r="L26" s="77">
        <f t="shared" si="3"/>
        <v>0</v>
      </c>
      <c r="M26" s="71"/>
      <c r="N26" s="71"/>
      <c r="O26" s="77">
        <f t="shared" si="2"/>
        <v>0</v>
      </c>
      <c r="P26" s="71"/>
      <c r="Q26" s="71"/>
      <c r="R26" s="71"/>
      <c r="S26" s="26"/>
    </row>
    <row r="27" spans="1:19" ht="18">
      <c r="A27" s="33" t="s">
        <v>23</v>
      </c>
      <c r="B27" s="13">
        <v>1110904510</v>
      </c>
      <c r="C27" s="71">
        <v>19</v>
      </c>
      <c r="D27" s="83"/>
      <c r="E27" s="71">
        <f>C27+D27</f>
        <v>19</v>
      </c>
      <c r="F27" s="71"/>
      <c r="G27" s="71">
        <v>4.4</v>
      </c>
      <c r="H27" s="68">
        <f t="shared" si="11"/>
        <v>11.4</v>
      </c>
      <c r="I27" s="77">
        <f t="shared" si="1"/>
        <v>0.6</v>
      </c>
      <c r="J27" s="77">
        <f t="shared" si="4"/>
        <v>0</v>
      </c>
      <c r="K27" s="71">
        <v>9.8</v>
      </c>
      <c r="L27" s="77">
        <f t="shared" si="3"/>
        <v>1.163265306122449</v>
      </c>
      <c r="M27" s="71">
        <v>7</v>
      </c>
      <c r="N27" s="71">
        <v>2.2</v>
      </c>
      <c r="O27" s="77">
        <f t="shared" si="2"/>
        <v>3.1818181818181817</v>
      </c>
      <c r="P27" s="71"/>
      <c r="Q27" s="71"/>
      <c r="R27" s="71"/>
      <c r="S27" s="26"/>
    </row>
    <row r="28" spans="1:19" ht="18">
      <c r="A28" s="9" t="s">
        <v>38</v>
      </c>
      <c r="B28" s="30">
        <v>1130299510</v>
      </c>
      <c r="C28" s="72">
        <v>100</v>
      </c>
      <c r="D28" s="72">
        <v>280</v>
      </c>
      <c r="E28" s="72">
        <f>C28+D28</f>
        <v>380</v>
      </c>
      <c r="F28" s="72"/>
      <c r="G28" s="72">
        <v>107.2</v>
      </c>
      <c r="H28" s="73">
        <f t="shared" si="11"/>
        <v>148.9</v>
      </c>
      <c r="I28" s="87">
        <f t="shared" si="1"/>
        <v>0.39184210526315794</v>
      </c>
      <c r="J28" s="87">
        <f t="shared" si="4"/>
        <v>0</v>
      </c>
      <c r="K28" s="72">
        <v>131.5</v>
      </c>
      <c r="L28" s="87">
        <f t="shared" si="3"/>
        <v>1.132319391634981</v>
      </c>
      <c r="M28" s="72">
        <v>41.7</v>
      </c>
      <c r="N28" s="72">
        <v>30.5</v>
      </c>
      <c r="O28" s="87">
        <f t="shared" si="2"/>
        <v>1.3672131147540985</v>
      </c>
      <c r="P28" s="72"/>
      <c r="Q28" s="72"/>
      <c r="R28" s="72"/>
      <c r="S28" s="26"/>
    </row>
    <row r="29" spans="1:19" ht="18">
      <c r="A29" s="9" t="s">
        <v>75</v>
      </c>
      <c r="B29" s="30">
        <v>1140205310</v>
      </c>
      <c r="C29" s="72"/>
      <c r="D29" s="72"/>
      <c r="E29" s="72">
        <f>C29+D29</f>
        <v>0</v>
      </c>
      <c r="F29" s="72"/>
      <c r="G29" s="72"/>
      <c r="H29" s="73">
        <f t="shared" si="11"/>
        <v>0</v>
      </c>
      <c r="I29" s="87">
        <f>IF(E29&gt;0,H29/E29,0)</f>
        <v>0</v>
      </c>
      <c r="J29" s="87">
        <f>IF(F29&gt;0,H29/F29,0)</f>
        <v>0</v>
      </c>
      <c r="K29" s="72"/>
      <c r="L29" s="87">
        <f t="shared" si="3"/>
        <v>0</v>
      </c>
      <c r="M29" s="72"/>
      <c r="N29" s="72"/>
      <c r="O29" s="87">
        <f t="shared" si="2"/>
        <v>0</v>
      </c>
      <c r="P29" s="72"/>
      <c r="Q29" s="72"/>
      <c r="R29" s="72"/>
      <c r="S29" s="26"/>
    </row>
    <row r="30" spans="1:19" ht="18">
      <c r="A30" s="9" t="s">
        <v>76</v>
      </c>
      <c r="B30" s="30">
        <v>1140601410</v>
      </c>
      <c r="C30" s="72"/>
      <c r="D30" s="72"/>
      <c r="E30" s="72"/>
      <c r="F30" s="72"/>
      <c r="G30" s="72"/>
      <c r="H30" s="73">
        <f t="shared" si="11"/>
        <v>0</v>
      </c>
      <c r="I30" s="87">
        <f>IF(E30&gt;0,H30/E30,0)</f>
        <v>0</v>
      </c>
      <c r="J30" s="87">
        <f>IF(F30&gt;0,H30/F30,0)</f>
        <v>0</v>
      </c>
      <c r="K30" s="72"/>
      <c r="L30" s="87">
        <f t="shared" si="3"/>
        <v>0</v>
      </c>
      <c r="M30" s="72"/>
      <c r="N30" s="72"/>
      <c r="O30" s="87">
        <f t="shared" si="2"/>
        <v>0</v>
      </c>
      <c r="P30" s="72"/>
      <c r="Q30" s="72"/>
      <c r="R30" s="72"/>
      <c r="S30" s="26"/>
    </row>
    <row r="31" spans="1:19" ht="18">
      <c r="A31" s="9" t="s">
        <v>77</v>
      </c>
      <c r="B31" s="30">
        <v>1169005010</v>
      </c>
      <c r="C31" s="72"/>
      <c r="D31" s="72"/>
      <c r="E31" s="73">
        <f>C31+D31</f>
        <v>0</v>
      </c>
      <c r="F31" s="73"/>
      <c r="G31" s="72"/>
      <c r="H31" s="73">
        <f t="shared" si="11"/>
        <v>0</v>
      </c>
      <c r="I31" s="87">
        <f>IF(E31&gt;0,H31/E31,0)</f>
        <v>0</v>
      </c>
      <c r="J31" s="87">
        <f>IF(F31&gt;0,H31/F31,0)</f>
        <v>0</v>
      </c>
      <c r="K31" s="72"/>
      <c r="L31" s="87">
        <f t="shared" si="3"/>
        <v>0</v>
      </c>
      <c r="M31" s="72"/>
      <c r="N31" s="72"/>
      <c r="O31" s="87">
        <f t="shared" si="2"/>
        <v>0</v>
      </c>
      <c r="P31" s="72"/>
      <c r="Q31" s="72"/>
      <c r="R31" s="72"/>
      <c r="S31" s="26"/>
    </row>
    <row r="32" spans="1:20" ht="18">
      <c r="A32" s="9" t="s">
        <v>69</v>
      </c>
      <c r="B32" s="30">
        <v>1170000000</v>
      </c>
      <c r="C32" s="72">
        <f>SUM(C33:C34)</f>
        <v>0</v>
      </c>
      <c r="D32" s="72">
        <f aca="true" t="shared" si="12" ref="D32:R32">SUM(D33:D34)</f>
        <v>0</v>
      </c>
      <c r="E32" s="72">
        <f t="shared" si="12"/>
        <v>0</v>
      </c>
      <c r="F32" s="72">
        <f t="shared" si="12"/>
        <v>0</v>
      </c>
      <c r="G32" s="72">
        <f>SUM(G33:G34)</f>
        <v>0.1</v>
      </c>
      <c r="H32" s="72">
        <f t="shared" si="12"/>
        <v>0.2</v>
      </c>
      <c r="I32" s="87">
        <f>IF(E32&gt;0,H32/E32,0)</f>
        <v>0</v>
      </c>
      <c r="J32" s="87">
        <f>IF(F32&gt;0,H32/F32,0)</f>
        <v>0</v>
      </c>
      <c r="K32" s="72">
        <f>SUM(K33:K34)</f>
        <v>0.1</v>
      </c>
      <c r="L32" s="87">
        <f t="shared" si="3"/>
        <v>2</v>
      </c>
      <c r="M32" s="72">
        <f>SUM(M33:M34)</f>
        <v>0.1</v>
      </c>
      <c r="N32" s="72">
        <f>SUM(N33:N34)</f>
        <v>0</v>
      </c>
      <c r="O32" s="72">
        <f t="shared" si="12"/>
        <v>0</v>
      </c>
      <c r="P32" s="72">
        <f t="shared" si="12"/>
        <v>0</v>
      </c>
      <c r="Q32" s="72">
        <f>SUM(Q33:Q34)</f>
        <v>0</v>
      </c>
      <c r="R32" s="72">
        <f t="shared" si="12"/>
        <v>0</v>
      </c>
      <c r="S32" s="173"/>
      <c r="T32" s="158"/>
    </row>
    <row r="33" spans="1:19" ht="18">
      <c r="A33" s="13" t="s">
        <v>8</v>
      </c>
      <c r="B33" s="13">
        <v>1170103003</v>
      </c>
      <c r="C33" s="71"/>
      <c r="D33" s="71"/>
      <c r="E33" s="71">
        <f>C33+D33</f>
        <v>0</v>
      </c>
      <c r="F33" s="71"/>
      <c r="G33" s="71"/>
      <c r="H33" s="68">
        <f>G33+M33</f>
        <v>0</v>
      </c>
      <c r="I33" s="77">
        <f t="shared" si="1"/>
        <v>0</v>
      </c>
      <c r="J33" s="77">
        <f t="shared" si="4"/>
        <v>0</v>
      </c>
      <c r="K33" s="71"/>
      <c r="L33" s="77">
        <f t="shared" si="3"/>
        <v>0</v>
      </c>
      <c r="M33" s="71"/>
      <c r="N33" s="71"/>
      <c r="O33" s="77">
        <f aca="true" t="shared" si="13" ref="O33:O39">IF(N33&gt;0,M33/N33,0)</f>
        <v>0</v>
      </c>
      <c r="P33" s="77"/>
      <c r="Q33" s="77"/>
      <c r="R33" s="77"/>
      <c r="S33" s="26"/>
    </row>
    <row r="34" spans="1:19" ht="18">
      <c r="A34" s="13" t="s">
        <v>33</v>
      </c>
      <c r="B34" s="13">
        <v>1170505010</v>
      </c>
      <c r="C34" s="71"/>
      <c r="D34" s="68"/>
      <c r="E34" s="71">
        <f>C34+D34</f>
        <v>0</v>
      </c>
      <c r="F34" s="71"/>
      <c r="G34" s="71">
        <v>0.1</v>
      </c>
      <c r="H34" s="68">
        <f>G34+M34</f>
        <v>0.2</v>
      </c>
      <c r="I34" s="77">
        <f>IF(E34&gt;0,H34/E34,0)</f>
        <v>0</v>
      </c>
      <c r="J34" s="77">
        <f>IF(F34&gt;0,H34/F34,0)</f>
        <v>0</v>
      </c>
      <c r="K34" s="71">
        <v>0.1</v>
      </c>
      <c r="L34" s="77">
        <f>IF(K34&gt;0,H34/K34,0)</f>
        <v>2</v>
      </c>
      <c r="M34" s="71">
        <v>0.1</v>
      </c>
      <c r="N34" s="71"/>
      <c r="O34" s="77">
        <f t="shared" si="13"/>
        <v>0</v>
      </c>
      <c r="P34" s="71"/>
      <c r="Q34" s="71"/>
      <c r="R34" s="71"/>
      <c r="S34" s="26"/>
    </row>
    <row r="35" spans="1:19" ht="18">
      <c r="A35" s="9" t="s">
        <v>6</v>
      </c>
      <c r="B35" s="9">
        <v>1000000000</v>
      </c>
      <c r="C35" s="78">
        <f aca="true" t="shared" si="14" ref="C35:H35">C5+C24</f>
        <v>1004.6999999999999</v>
      </c>
      <c r="D35" s="78">
        <f t="shared" si="14"/>
        <v>428.87</v>
      </c>
      <c r="E35" s="78">
        <f t="shared" si="14"/>
        <v>1433.5700000000002</v>
      </c>
      <c r="F35" s="79" t="e">
        <f t="shared" si="14"/>
        <v>#REF!</v>
      </c>
      <c r="G35" s="79">
        <f>G5+G24</f>
        <v>763.2</v>
      </c>
      <c r="H35" s="79">
        <f t="shared" si="14"/>
        <v>873.8</v>
      </c>
      <c r="I35" s="80">
        <f t="shared" si="1"/>
        <v>0.6095272641029038</v>
      </c>
      <c r="J35" s="80" t="e">
        <f t="shared" si="4"/>
        <v>#REF!</v>
      </c>
      <c r="K35" s="79">
        <f>K5+K24</f>
        <v>540.7</v>
      </c>
      <c r="L35" s="80">
        <f t="shared" si="3"/>
        <v>1.616053264287035</v>
      </c>
      <c r="M35" s="79">
        <f>M5+M24</f>
        <v>110.60000000000001</v>
      </c>
      <c r="N35" s="79">
        <f>N5+N24</f>
        <v>96.60000000000001</v>
      </c>
      <c r="O35" s="80">
        <f t="shared" si="13"/>
        <v>1.144927536231884</v>
      </c>
      <c r="P35" s="79">
        <f>P5+P24</f>
        <v>24.9</v>
      </c>
      <c r="Q35" s="79">
        <f>Q5+Q24</f>
        <v>13.799999999999999</v>
      </c>
      <c r="R35" s="79">
        <f>R5+R24</f>
        <v>13.999999999999998</v>
      </c>
      <c r="S35" s="26"/>
    </row>
    <row r="36" spans="1:19" ht="18">
      <c r="A36" s="9" t="s">
        <v>92</v>
      </c>
      <c r="B36" s="9"/>
      <c r="C36" s="79">
        <f aca="true" t="shared" si="15" ref="C36:H36">C35-C10</f>
        <v>648.8</v>
      </c>
      <c r="D36" s="78">
        <f t="shared" si="15"/>
        <v>428.87</v>
      </c>
      <c r="E36" s="78">
        <f t="shared" si="15"/>
        <v>1077.67</v>
      </c>
      <c r="F36" s="79" t="e">
        <f t="shared" si="15"/>
        <v>#REF!</v>
      </c>
      <c r="G36" s="79">
        <f>G35-G10</f>
        <v>639.6</v>
      </c>
      <c r="H36" s="79">
        <f t="shared" si="15"/>
        <v>728.8</v>
      </c>
      <c r="I36" s="80">
        <f>IF(E36&gt;0,H36/E36,0)</f>
        <v>0.676273812948305</v>
      </c>
      <c r="J36" s="80" t="e">
        <f>IF(F36&gt;0,H36/F36,0)</f>
        <v>#REF!</v>
      </c>
      <c r="K36" s="79">
        <f>K35-K10</f>
        <v>394.70000000000005</v>
      </c>
      <c r="L36" s="80">
        <f t="shared" si="3"/>
        <v>1.8464656701292117</v>
      </c>
      <c r="M36" s="79">
        <f>M35-M10</f>
        <v>89.20000000000002</v>
      </c>
      <c r="N36" s="79">
        <f>N35-N10</f>
        <v>73.9</v>
      </c>
      <c r="O36" s="80">
        <f t="shared" si="13"/>
        <v>1.2070365358592694</v>
      </c>
      <c r="P36" s="79"/>
      <c r="Q36" s="79"/>
      <c r="R36" s="79"/>
      <c r="S36" s="26"/>
    </row>
    <row r="37" spans="1:19" ht="18">
      <c r="A37" s="13" t="s">
        <v>36</v>
      </c>
      <c r="B37" s="13">
        <v>2000000000</v>
      </c>
      <c r="C37" s="71">
        <v>6275.811</v>
      </c>
      <c r="D37" s="83">
        <f>-398.6</f>
        <v>-398.6</v>
      </c>
      <c r="E37" s="81">
        <f>C37+D37</f>
        <v>5877.210999999999</v>
      </c>
      <c r="F37" s="67"/>
      <c r="G37" s="71">
        <v>1644.2</v>
      </c>
      <c r="H37" s="68">
        <f>G37+M37</f>
        <v>1828.8</v>
      </c>
      <c r="I37" s="70">
        <f t="shared" si="1"/>
        <v>0.31116800128496325</v>
      </c>
      <c r="J37" s="70">
        <f t="shared" si="4"/>
        <v>0</v>
      </c>
      <c r="K37" s="71">
        <v>1622.8</v>
      </c>
      <c r="L37" s="70">
        <f t="shared" si="3"/>
        <v>1.1269410894749816</v>
      </c>
      <c r="M37" s="71">
        <v>184.6</v>
      </c>
      <c r="N37" s="71">
        <v>219.8</v>
      </c>
      <c r="O37" s="70">
        <f t="shared" si="13"/>
        <v>0.8398544131028207</v>
      </c>
      <c r="P37" s="71"/>
      <c r="Q37" s="71"/>
      <c r="R37" s="71"/>
      <c r="S37" s="174"/>
    </row>
    <row r="38" spans="1:19" ht="18">
      <c r="A38" s="13" t="s">
        <v>46</v>
      </c>
      <c r="B38" s="34" t="s">
        <v>37</v>
      </c>
      <c r="C38" s="71"/>
      <c r="D38" s="83">
        <f>146.329</f>
        <v>146.329</v>
      </c>
      <c r="E38" s="67">
        <f>C38+D38</f>
        <v>146.329</v>
      </c>
      <c r="F38" s="67"/>
      <c r="G38" s="71">
        <v>139.5</v>
      </c>
      <c r="H38" s="68">
        <f>G38+M38</f>
        <v>139.5</v>
      </c>
      <c r="I38" s="70">
        <f>IF(E38&gt;0,H38/E38,0)</f>
        <v>0.9533311920398554</v>
      </c>
      <c r="J38" s="70">
        <f>IF(F38&gt;0,H38/F38,0)</f>
        <v>0</v>
      </c>
      <c r="K38" s="71">
        <v>210</v>
      </c>
      <c r="L38" s="70">
        <f t="shared" si="3"/>
        <v>0.6642857142857143</v>
      </c>
      <c r="M38" s="71"/>
      <c r="N38" s="71"/>
      <c r="O38" s="70">
        <f t="shared" si="13"/>
        <v>0</v>
      </c>
      <c r="P38" s="71"/>
      <c r="Q38" s="71"/>
      <c r="R38" s="71"/>
      <c r="S38" s="26"/>
    </row>
    <row r="39" spans="1:19" ht="18">
      <c r="A39" s="9" t="s">
        <v>2</v>
      </c>
      <c r="B39" s="9">
        <v>0</v>
      </c>
      <c r="C39" s="78">
        <f aca="true" t="shared" si="16" ref="C39:H39">C35+C37+C38</f>
        <v>7280.5109999999995</v>
      </c>
      <c r="D39" s="78">
        <f t="shared" si="16"/>
        <v>176.599</v>
      </c>
      <c r="E39" s="78">
        <f t="shared" si="16"/>
        <v>7457.109999999999</v>
      </c>
      <c r="F39" s="79" t="e">
        <f t="shared" si="16"/>
        <v>#REF!</v>
      </c>
      <c r="G39" s="79">
        <f t="shared" si="16"/>
        <v>2546.9</v>
      </c>
      <c r="H39" s="79">
        <f t="shared" si="16"/>
        <v>2842.1</v>
      </c>
      <c r="I39" s="80">
        <f t="shared" si="1"/>
        <v>0.3811262003644844</v>
      </c>
      <c r="J39" s="80" t="e">
        <f t="shared" si="4"/>
        <v>#REF!</v>
      </c>
      <c r="K39" s="79">
        <f>K35+K37+K38</f>
        <v>2373.5</v>
      </c>
      <c r="L39" s="80">
        <f t="shared" si="3"/>
        <v>1.1974299557615335</v>
      </c>
      <c r="M39" s="88">
        <f>M35+M37+M38</f>
        <v>295.2</v>
      </c>
      <c r="N39" s="79">
        <f>N35+N37+N38</f>
        <v>316.40000000000003</v>
      </c>
      <c r="O39" s="80">
        <f t="shared" si="13"/>
        <v>0.9329962073324903</v>
      </c>
      <c r="P39" s="79">
        <f>P35+P37</f>
        <v>24.9</v>
      </c>
      <c r="Q39" s="79">
        <f>Q35+Q37</f>
        <v>13.799999999999999</v>
      </c>
      <c r="R39" s="79">
        <f>R35+R37</f>
        <v>13.999999999999998</v>
      </c>
      <c r="S39" s="26"/>
    </row>
  </sheetData>
  <sheetProtection/>
  <mergeCells count="15">
    <mergeCell ref="P3:R3"/>
    <mergeCell ref="N3:N4"/>
    <mergeCell ref="F3:F4"/>
    <mergeCell ref="O3:O4"/>
    <mergeCell ref="M3:M4"/>
    <mergeCell ref="A3:A4"/>
    <mergeCell ref="B3:B4"/>
    <mergeCell ref="C3:C4"/>
    <mergeCell ref="E3:E4"/>
    <mergeCell ref="D3:D4"/>
    <mergeCell ref="C1:M1"/>
    <mergeCell ref="B2:R2"/>
    <mergeCell ref="G3:G4"/>
    <mergeCell ref="K3:L3"/>
    <mergeCell ref="H3:J3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1" sqref="R21"/>
    </sheetView>
  </sheetViews>
  <sheetFormatPr defaultColWidth="9.00390625" defaultRowHeight="12.75"/>
  <cols>
    <col min="1" max="1" width="40.00390625" style="0" customWidth="1"/>
    <col min="2" max="2" width="14.625" style="0" customWidth="1"/>
    <col min="3" max="3" width="13.25390625" style="0" customWidth="1"/>
    <col min="4" max="4" width="14.00390625" style="0" customWidth="1"/>
    <col min="5" max="5" width="14.625" style="0" customWidth="1"/>
    <col min="6" max="6" width="10.75390625" style="0" hidden="1" customWidth="1"/>
    <col min="7" max="7" width="12.125" style="0" customWidth="1"/>
    <col min="8" max="8" width="11.25390625" style="0" customWidth="1"/>
    <col min="9" max="9" width="12.25390625" style="0" customWidth="1"/>
    <col min="10" max="10" width="0.12890625" style="0" customWidth="1"/>
    <col min="11" max="11" width="10.375" style="0" customWidth="1"/>
    <col min="12" max="12" width="13.875" style="0" customWidth="1"/>
    <col min="13" max="13" width="11.00390625" style="0" customWidth="1"/>
    <col min="14" max="14" width="9.625" style="0" customWidth="1"/>
    <col min="15" max="15" width="13.875" style="0" customWidth="1"/>
    <col min="16" max="16" width="10.625" style="0" customWidth="1"/>
    <col min="17" max="17" width="10.25390625" style="0" customWidth="1"/>
    <col min="18" max="18" width="10.125" style="0" customWidth="1"/>
  </cols>
  <sheetData>
    <row r="1" spans="1:18" ht="15.75">
      <c r="A1" s="26"/>
      <c r="B1" s="48"/>
      <c r="C1" s="186" t="s">
        <v>11</v>
      </c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49"/>
      <c r="O1" s="49"/>
      <c r="P1" s="26"/>
      <c r="Q1" s="26"/>
      <c r="R1" s="26"/>
    </row>
    <row r="2" spans="1:18" ht="15.75">
      <c r="A2" s="26"/>
      <c r="B2" s="192" t="s">
        <v>127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</row>
    <row r="3" spans="1:18" ht="13.5" customHeight="1">
      <c r="A3" s="181" t="s">
        <v>3</v>
      </c>
      <c r="B3" s="181" t="s">
        <v>4</v>
      </c>
      <c r="C3" s="181" t="s">
        <v>115</v>
      </c>
      <c r="D3" s="181" t="s">
        <v>24</v>
      </c>
      <c r="E3" s="181" t="s">
        <v>116</v>
      </c>
      <c r="F3" s="181" t="s">
        <v>99</v>
      </c>
      <c r="G3" s="181" t="s">
        <v>119</v>
      </c>
      <c r="H3" s="181" t="s">
        <v>117</v>
      </c>
      <c r="I3" s="181"/>
      <c r="J3" s="181"/>
      <c r="K3" s="181" t="s">
        <v>111</v>
      </c>
      <c r="L3" s="181"/>
      <c r="M3" s="181" t="s">
        <v>122</v>
      </c>
      <c r="N3" s="181" t="s">
        <v>123</v>
      </c>
      <c r="O3" s="181" t="s">
        <v>30</v>
      </c>
      <c r="P3" s="181" t="s">
        <v>9</v>
      </c>
      <c r="Q3" s="181"/>
      <c r="R3" s="181"/>
    </row>
    <row r="4" spans="1:18" ht="93.75" customHeight="1">
      <c r="A4" s="190"/>
      <c r="B4" s="190"/>
      <c r="C4" s="181"/>
      <c r="D4" s="181"/>
      <c r="E4" s="181"/>
      <c r="F4" s="181"/>
      <c r="G4" s="181"/>
      <c r="H4" s="47" t="s">
        <v>121</v>
      </c>
      <c r="I4" s="47" t="s">
        <v>10</v>
      </c>
      <c r="J4" s="47" t="s">
        <v>29</v>
      </c>
      <c r="K4" s="47" t="s">
        <v>121</v>
      </c>
      <c r="L4" s="47" t="s">
        <v>30</v>
      </c>
      <c r="M4" s="181"/>
      <c r="N4" s="181"/>
      <c r="O4" s="181"/>
      <c r="P4" s="122" t="s">
        <v>114</v>
      </c>
      <c r="Q4" s="122" t="s">
        <v>120</v>
      </c>
      <c r="R4" s="122" t="s">
        <v>131</v>
      </c>
    </row>
    <row r="5" spans="1:18" ht="19.5" customHeight="1">
      <c r="A5" s="29" t="s">
        <v>21</v>
      </c>
      <c r="B5" s="29"/>
      <c r="C5" s="89">
        <f aca="true" t="shared" si="0" ref="C5:H5">C6+C15+C17+C22+C23+C10</f>
        <v>1440.7</v>
      </c>
      <c r="D5" s="89">
        <f t="shared" si="0"/>
        <v>0</v>
      </c>
      <c r="E5" s="141">
        <f t="shared" si="0"/>
        <v>1440.7</v>
      </c>
      <c r="F5" s="89" t="e">
        <f t="shared" si="0"/>
        <v>#REF!</v>
      </c>
      <c r="G5" s="89">
        <f t="shared" si="0"/>
        <v>532.8</v>
      </c>
      <c r="H5" s="89">
        <f t="shared" si="0"/>
        <v>617.9</v>
      </c>
      <c r="I5" s="90">
        <f aca="true" t="shared" si="1" ref="I5:I40">IF(E5&gt;0,H5/E5,0)</f>
        <v>0.4288887346428819</v>
      </c>
      <c r="J5" s="90" t="e">
        <f>IF(F5&gt;0,H5/F5,0)</f>
        <v>#REF!</v>
      </c>
      <c r="K5" s="89">
        <f>K6+K15+K17+K22+K23+K10</f>
        <v>686.8</v>
      </c>
      <c r="L5" s="90">
        <f>IF(K5&gt;0,H5/K5,0)</f>
        <v>0.8996796738497379</v>
      </c>
      <c r="M5" s="89">
        <f>M6+M15+M17+M22+M23+M10</f>
        <v>85.1</v>
      </c>
      <c r="N5" s="89">
        <f>N6+N15+N17+N22+N23+N10</f>
        <v>89</v>
      </c>
      <c r="O5" s="90">
        <f aca="true" t="shared" si="2" ref="O5:O33">IF(N5&gt;0,M5/N5,0)</f>
        <v>0.9561797752808988</v>
      </c>
      <c r="P5" s="89">
        <f>P6+P15+P17+P22+P23+P10</f>
        <v>36.900000000000006</v>
      </c>
      <c r="Q5" s="89">
        <f>Q6+Q15+Q17+Q22+Q23+Q10</f>
        <v>28.1</v>
      </c>
      <c r="R5" s="89">
        <f>R6+R15+R17+R22+R23+R10</f>
        <v>29.5</v>
      </c>
    </row>
    <row r="6" spans="1:18" ht="18">
      <c r="A6" s="9" t="s">
        <v>63</v>
      </c>
      <c r="B6" s="30">
        <v>1010200001</v>
      </c>
      <c r="C6" s="72">
        <f>C7+C8+C9</f>
        <v>581.4</v>
      </c>
      <c r="D6" s="72">
        <f>D7+D8+D9</f>
        <v>0</v>
      </c>
      <c r="E6" s="72">
        <f>E7+E8+E9</f>
        <v>581.4</v>
      </c>
      <c r="F6" s="72" t="e">
        <f>F7+F8+F9+#REF!</f>
        <v>#REF!</v>
      </c>
      <c r="G6" s="72">
        <f>G7+G8+G9</f>
        <v>203.3</v>
      </c>
      <c r="H6" s="72">
        <f>H7+H8+H9</f>
        <v>245</v>
      </c>
      <c r="I6" s="87">
        <f t="shared" si="1"/>
        <v>0.4213966288269694</v>
      </c>
      <c r="J6" s="87" t="e">
        <f>IF(F6&gt;0,H6/F6,0)</f>
        <v>#REF!</v>
      </c>
      <c r="K6" s="72">
        <f>K7+K8+K9</f>
        <v>280.4</v>
      </c>
      <c r="L6" s="87">
        <f aca="true" t="shared" si="3" ref="L6:L40">IF(K6&gt;0,H6/K6,0)</f>
        <v>0.8737517831669045</v>
      </c>
      <c r="M6" s="72">
        <f>M7+M8+M9</f>
        <v>41.7</v>
      </c>
      <c r="N6" s="72">
        <f>N7+N8+N9</f>
        <v>38.6</v>
      </c>
      <c r="O6" s="87">
        <f t="shared" si="2"/>
        <v>1.0803108808290156</v>
      </c>
      <c r="P6" s="72">
        <f>P7+P8+P9</f>
        <v>0.2</v>
      </c>
      <c r="Q6" s="72">
        <f>Q7+Q8+Q9</f>
        <v>0.2</v>
      </c>
      <c r="R6" s="72">
        <f>R7+R8+R9</f>
        <v>2</v>
      </c>
    </row>
    <row r="7" spans="1:18" ht="18" customHeight="1">
      <c r="A7" s="10" t="s">
        <v>44</v>
      </c>
      <c r="B7" s="13">
        <v>1010201001</v>
      </c>
      <c r="C7" s="71">
        <v>580.5</v>
      </c>
      <c r="D7" s="83"/>
      <c r="E7" s="71">
        <f>C7+D7</f>
        <v>580.5</v>
      </c>
      <c r="F7" s="71"/>
      <c r="G7" s="68">
        <v>203.3</v>
      </c>
      <c r="H7" s="68">
        <f>G7+M7</f>
        <v>245</v>
      </c>
      <c r="I7" s="77">
        <f t="shared" si="1"/>
        <v>0.42204995693367786</v>
      </c>
      <c r="J7" s="77">
        <f aca="true" t="shared" si="4" ref="J7:J40">IF(F7&gt;0,H7/F7,0)</f>
        <v>0</v>
      </c>
      <c r="K7" s="68">
        <v>280.4</v>
      </c>
      <c r="L7" s="77">
        <f t="shared" si="3"/>
        <v>0.8737517831669045</v>
      </c>
      <c r="M7" s="68">
        <v>41.7</v>
      </c>
      <c r="N7" s="68">
        <v>38.6</v>
      </c>
      <c r="O7" s="77">
        <f t="shared" si="2"/>
        <v>1.0803108808290156</v>
      </c>
      <c r="P7" s="71"/>
      <c r="Q7" s="71"/>
      <c r="R7" s="71">
        <v>1.8</v>
      </c>
    </row>
    <row r="8" spans="1:18" ht="17.25" customHeight="1">
      <c r="A8" s="10" t="s">
        <v>43</v>
      </c>
      <c r="B8" s="13">
        <v>1010202001</v>
      </c>
      <c r="C8" s="71"/>
      <c r="D8" s="68"/>
      <c r="E8" s="71">
        <f>C8+D8</f>
        <v>0</v>
      </c>
      <c r="F8" s="71"/>
      <c r="G8" s="71"/>
      <c r="H8" s="68">
        <f>G8+M8</f>
        <v>0</v>
      </c>
      <c r="I8" s="77">
        <f t="shared" si="1"/>
        <v>0</v>
      </c>
      <c r="J8" s="77">
        <f t="shared" si="4"/>
        <v>0</v>
      </c>
      <c r="K8" s="71"/>
      <c r="L8" s="77">
        <f>IF(K8&gt;0,H8/K8,0)</f>
        <v>0</v>
      </c>
      <c r="M8" s="71"/>
      <c r="N8" s="71"/>
      <c r="O8" s="77">
        <f>IF(N8&gt;0,M8/N8,0)</f>
        <v>0</v>
      </c>
      <c r="P8" s="71"/>
      <c r="Q8" s="71"/>
      <c r="R8" s="71"/>
    </row>
    <row r="9" spans="1:18" ht="17.25" customHeight="1">
      <c r="A9" s="10" t="s">
        <v>42</v>
      </c>
      <c r="B9" s="13">
        <v>1010203001</v>
      </c>
      <c r="C9" s="71">
        <v>0.9</v>
      </c>
      <c r="D9" s="71"/>
      <c r="E9" s="71">
        <f>C9+D9</f>
        <v>0.9</v>
      </c>
      <c r="F9" s="71"/>
      <c r="G9" s="71"/>
      <c r="H9" s="68">
        <f>G9+M9</f>
        <v>0</v>
      </c>
      <c r="I9" s="77">
        <f t="shared" si="1"/>
        <v>0</v>
      </c>
      <c r="J9" s="77">
        <f t="shared" si="4"/>
        <v>0</v>
      </c>
      <c r="K9" s="71"/>
      <c r="L9" s="77">
        <f t="shared" si="3"/>
        <v>0</v>
      </c>
      <c r="M9" s="71"/>
      <c r="N9" s="71"/>
      <c r="O9" s="77">
        <f t="shared" si="2"/>
        <v>0</v>
      </c>
      <c r="P9" s="71">
        <v>0.2</v>
      </c>
      <c r="Q9" s="71">
        <v>0.2</v>
      </c>
      <c r="R9" s="71">
        <v>0.2</v>
      </c>
    </row>
    <row r="10" spans="1:18" ht="18" customHeight="1">
      <c r="A10" s="11" t="s">
        <v>48</v>
      </c>
      <c r="B10" s="19">
        <v>1030200001</v>
      </c>
      <c r="C10" s="72">
        <f aca="true" t="shared" si="5" ref="C10:H10">SUM(C11:C14)</f>
        <v>691.3000000000001</v>
      </c>
      <c r="D10" s="72">
        <f t="shared" si="5"/>
        <v>0</v>
      </c>
      <c r="E10" s="72">
        <f t="shared" si="5"/>
        <v>691.3000000000001</v>
      </c>
      <c r="F10" s="72"/>
      <c r="G10" s="72">
        <f>SUM(G11:G14)</f>
        <v>238.9</v>
      </c>
      <c r="H10" s="72">
        <f t="shared" si="5"/>
        <v>280.4</v>
      </c>
      <c r="I10" s="66">
        <f t="shared" si="1"/>
        <v>0.4056126139158107</v>
      </c>
      <c r="J10" s="66">
        <f>IF(F10&gt;0,H10/F10,0)</f>
        <v>0</v>
      </c>
      <c r="K10" s="72">
        <f>SUM(K11:K14)</f>
        <v>317.3</v>
      </c>
      <c r="L10" s="66">
        <f t="shared" si="3"/>
        <v>0.8837062716671918</v>
      </c>
      <c r="M10" s="72">
        <f>SUM(M11:M14)</f>
        <v>41.5</v>
      </c>
      <c r="N10" s="72">
        <f>SUM(N11:N14)</f>
        <v>49.300000000000004</v>
      </c>
      <c r="O10" s="66">
        <f t="shared" si="2"/>
        <v>0.8417849898580121</v>
      </c>
      <c r="P10" s="72">
        <f>SUM(P11:P14)</f>
        <v>0</v>
      </c>
      <c r="Q10" s="72">
        <f>SUM(Q11:Q14)</f>
        <v>0</v>
      </c>
      <c r="R10" s="72">
        <f>SUM(R11:R14)</f>
        <v>0</v>
      </c>
    </row>
    <row r="11" spans="1:18" ht="19.5" customHeight="1">
      <c r="A11" s="12" t="s">
        <v>49</v>
      </c>
      <c r="B11" s="12">
        <v>1030223101</v>
      </c>
      <c r="C11" s="71">
        <v>316.8</v>
      </c>
      <c r="D11" s="71"/>
      <c r="E11" s="67">
        <f>C11+D11</f>
        <v>316.8</v>
      </c>
      <c r="F11" s="67"/>
      <c r="G11" s="71">
        <v>112.4</v>
      </c>
      <c r="H11" s="69">
        <f>G11+M11</f>
        <v>132.9</v>
      </c>
      <c r="I11" s="70">
        <f t="shared" si="1"/>
        <v>0.41950757575757575</v>
      </c>
      <c r="J11" s="70"/>
      <c r="K11" s="71">
        <v>144</v>
      </c>
      <c r="L11" s="70">
        <f t="shared" si="3"/>
        <v>0.9229166666666667</v>
      </c>
      <c r="M11" s="71">
        <v>20.5</v>
      </c>
      <c r="N11" s="71">
        <v>23</v>
      </c>
      <c r="O11" s="70">
        <f t="shared" si="2"/>
        <v>0.8913043478260869</v>
      </c>
      <c r="P11" s="71"/>
      <c r="Q11" s="71"/>
      <c r="R11" s="71"/>
    </row>
    <row r="12" spans="1:18" ht="17.25" customHeight="1">
      <c r="A12" s="12" t="s">
        <v>50</v>
      </c>
      <c r="B12" s="12">
        <v>1030224101</v>
      </c>
      <c r="C12" s="71">
        <v>1.6</v>
      </c>
      <c r="D12" s="71"/>
      <c r="E12" s="67">
        <f>C12+D12</f>
        <v>1.6</v>
      </c>
      <c r="F12" s="67"/>
      <c r="G12" s="71">
        <v>0.7</v>
      </c>
      <c r="H12" s="69">
        <f>G12+M12</f>
        <v>0.8999999999999999</v>
      </c>
      <c r="I12" s="70">
        <f t="shared" si="1"/>
        <v>0.5624999999999999</v>
      </c>
      <c r="J12" s="70"/>
      <c r="K12" s="71">
        <v>1.1</v>
      </c>
      <c r="L12" s="70">
        <f t="shared" si="3"/>
        <v>0.818181818181818</v>
      </c>
      <c r="M12" s="71">
        <v>0.2</v>
      </c>
      <c r="N12" s="71">
        <v>0.2</v>
      </c>
      <c r="O12" s="70">
        <f t="shared" si="2"/>
        <v>1</v>
      </c>
      <c r="P12" s="71"/>
      <c r="Q12" s="71"/>
      <c r="R12" s="71"/>
    </row>
    <row r="13" spans="1:18" ht="18" customHeight="1">
      <c r="A13" s="12" t="s">
        <v>90</v>
      </c>
      <c r="B13" s="12">
        <v>1030225101</v>
      </c>
      <c r="C13" s="71">
        <v>413.8</v>
      </c>
      <c r="D13" s="71"/>
      <c r="E13" s="67">
        <f>C13+D13</f>
        <v>413.8</v>
      </c>
      <c r="F13" s="67"/>
      <c r="G13" s="71">
        <v>149.4</v>
      </c>
      <c r="H13" s="69">
        <f>G13+M13</f>
        <v>173.1</v>
      </c>
      <c r="I13" s="70">
        <f t="shared" si="1"/>
        <v>0.4183180280328661</v>
      </c>
      <c r="J13" s="70"/>
      <c r="K13" s="71">
        <v>199.6</v>
      </c>
      <c r="L13" s="70">
        <f t="shared" si="3"/>
        <v>0.8672344689378757</v>
      </c>
      <c r="M13" s="71">
        <v>23.7</v>
      </c>
      <c r="N13" s="71">
        <v>31.5</v>
      </c>
      <c r="O13" s="70">
        <f t="shared" si="2"/>
        <v>0.7523809523809524</v>
      </c>
      <c r="P13" s="71"/>
      <c r="Q13" s="71"/>
      <c r="R13" s="71"/>
    </row>
    <row r="14" spans="1:18" ht="17.25" customHeight="1">
      <c r="A14" s="12" t="s">
        <v>52</v>
      </c>
      <c r="B14" s="12">
        <v>1030226101</v>
      </c>
      <c r="C14" s="71">
        <v>-40.9</v>
      </c>
      <c r="D14" s="71"/>
      <c r="E14" s="67">
        <f>C14+D14</f>
        <v>-40.9</v>
      </c>
      <c r="F14" s="67"/>
      <c r="G14" s="71">
        <v>-23.6</v>
      </c>
      <c r="H14" s="69">
        <f>G14+M14</f>
        <v>-26.5</v>
      </c>
      <c r="I14" s="70">
        <f>H14/E14</f>
        <v>0.6479217603911981</v>
      </c>
      <c r="J14" s="70"/>
      <c r="K14" s="71">
        <v>-27.4</v>
      </c>
      <c r="L14" s="70">
        <f t="shared" si="3"/>
        <v>0</v>
      </c>
      <c r="M14" s="71">
        <v>-2.9</v>
      </c>
      <c r="N14" s="71">
        <v>-5.4</v>
      </c>
      <c r="O14" s="70">
        <f t="shared" si="2"/>
        <v>0</v>
      </c>
      <c r="P14" s="71"/>
      <c r="Q14" s="71"/>
      <c r="R14" s="71"/>
    </row>
    <row r="15" spans="1:18" ht="18">
      <c r="A15" s="9" t="s">
        <v>70</v>
      </c>
      <c r="B15" s="30">
        <v>1050000000</v>
      </c>
      <c r="C15" s="72">
        <f aca="true" t="shared" si="6" ref="C15:H15">C16</f>
        <v>0</v>
      </c>
      <c r="D15" s="73">
        <f t="shared" si="6"/>
        <v>0</v>
      </c>
      <c r="E15" s="73">
        <f t="shared" si="6"/>
        <v>0</v>
      </c>
      <c r="F15" s="73">
        <f t="shared" si="6"/>
        <v>0</v>
      </c>
      <c r="G15" s="72">
        <f>G16</f>
        <v>0</v>
      </c>
      <c r="H15" s="73">
        <f t="shared" si="6"/>
        <v>0</v>
      </c>
      <c r="I15" s="87">
        <f t="shared" si="1"/>
        <v>0</v>
      </c>
      <c r="J15" s="87">
        <f t="shared" si="4"/>
        <v>0</v>
      </c>
      <c r="K15" s="72">
        <f>K16</f>
        <v>0</v>
      </c>
      <c r="L15" s="87">
        <f t="shared" si="3"/>
        <v>0</v>
      </c>
      <c r="M15" s="72">
        <f>M16</f>
        <v>0</v>
      </c>
      <c r="N15" s="72">
        <f>N16</f>
        <v>0</v>
      </c>
      <c r="O15" s="87">
        <f t="shared" si="2"/>
        <v>0</v>
      </c>
      <c r="P15" s="72">
        <f>P16</f>
        <v>0</v>
      </c>
      <c r="Q15" s="72">
        <f>Q16</f>
        <v>0</v>
      </c>
      <c r="R15" s="72">
        <f>R16</f>
        <v>0</v>
      </c>
    </row>
    <row r="16" spans="1:18" ht="18">
      <c r="A16" s="13" t="s">
        <v>7</v>
      </c>
      <c r="B16" s="13">
        <v>1050300001</v>
      </c>
      <c r="C16" s="71"/>
      <c r="D16" s="68"/>
      <c r="E16" s="71">
        <f>C16+D16</f>
        <v>0</v>
      </c>
      <c r="F16" s="71"/>
      <c r="G16" s="71"/>
      <c r="H16" s="68">
        <f>G16+M16</f>
        <v>0</v>
      </c>
      <c r="I16" s="77">
        <f t="shared" si="1"/>
        <v>0</v>
      </c>
      <c r="J16" s="77">
        <f t="shared" si="4"/>
        <v>0</v>
      </c>
      <c r="K16" s="71"/>
      <c r="L16" s="77">
        <f t="shared" si="3"/>
        <v>0</v>
      </c>
      <c r="M16" s="71"/>
      <c r="N16" s="71"/>
      <c r="O16" s="77">
        <f t="shared" si="2"/>
        <v>0</v>
      </c>
      <c r="P16" s="71"/>
      <c r="Q16" s="71"/>
      <c r="R16" s="71"/>
    </row>
    <row r="17" spans="1:18" ht="18">
      <c r="A17" s="9" t="s">
        <v>71</v>
      </c>
      <c r="B17" s="30">
        <v>1060000000</v>
      </c>
      <c r="C17" s="72">
        <f aca="true" t="shared" si="7" ref="C17:H17">C18+C21</f>
        <v>165</v>
      </c>
      <c r="D17" s="73">
        <f t="shared" si="7"/>
        <v>0</v>
      </c>
      <c r="E17" s="73">
        <f t="shared" si="7"/>
        <v>165</v>
      </c>
      <c r="F17" s="73">
        <f t="shared" si="7"/>
        <v>0</v>
      </c>
      <c r="G17" s="72">
        <f>G18+G21</f>
        <v>84.1</v>
      </c>
      <c r="H17" s="73">
        <f t="shared" si="7"/>
        <v>85.4</v>
      </c>
      <c r="I17" s="87">
        <f t="shared" si="1"/>
        <v>0.5175757575757576</v>
      </c>
      <c r="J17" s="87">
        <f t="shared" si="4"/>
        <v>0</v>
      </c>
      <c r="K17" s="72">
        <f>K18+K21</f>
        <v>85.7</v>
      </c>
      <c r="L17" s="87">
        <f t="shared" si="3"/>
        <v>0.9964994165694283</v>
      </c>
      <c r="M17" s="72">
        <f>M18+M21</f>
        <v>1.3</v>
      </c>
      <c r="N17" s="72">
        <f>N18+N21</f>
        <v>0.5</v>
      </c>
      <c r="O17" s="87">
        <f t="shared" si="2"/>
        <v>2.6</v>
      </c>
      <c r="P17" s="72">
        <f>P18+P21</f>
        <v>36.7</v>
      </c>
      <c r="Q17" s="72">
        <f>Q18+Q21</f>
        <v>27.900000000000002</v>
      </c>
      <c r="R17" s="72">
        <f>R18+R21</f>
        <v>27.5</v>
      </c>
    </row>
    <row r="18" spans="1:18" ht="18">
      <c r="A18" s="13" t="s">
        <v>13</v>
      </c>
      <c r="B18" s="13">
        <v>1060600000</v>
      </c>
      <c r="C18" s="71">
        <f aca="true" t="shared" si="8" ref="C18:H18">C19+C20</f>
        <v>131</v>
      </c>
      <c r="D18" s="68">
        <f t="shared" si="8"/>
        <v>0</v>
      </c>
      <c r="E18" s="68">
        <f t="shared" si="8"/>
        <v>131</v>
      </c>
      <c r="F18" s="68">
        <f t="shared" si="8"/>
        <v>0</v>
      </c>
      <c r="G18" s="71">
        <f>G19+G20</f>
        <v>82.5</v>
      </c>
      <c r="H18" s="68">
        <f t="shared" si="8"/>
        <v>83.7</v>
      </c>
      <c r="I18" s="77">
        <f t="shared" si="1"/>
        <v>0.6389312977099237</v>
      </c>
      <c r="J18" s="77">
        <f t="shared" si="4"/>
        <v>0</v>
      </c>
      <c r="K18" s="71">
        <f>K19+K20</f>
        <v>77</v>
      </c>
      <c r="L18" s="77">
        <f t="shared" si="3"/>
        <v>1.087012987012987</v>
      </c>
      <c r="M18" s="71">
        <f>M19+M20</f>
        <v>1.2</v>
      </c>
      <c r="N18" s="71">
        <f>N19+N20</f>
        <v>0.5</v>
      </c>
      <c r="O18" s="77">
        <f t="shared" si="2"/>
        <v>2.4</v>
      </c>
      <c r="P18" s="71">
        <f>P19+P20</f>
        <v>26.9</v>
      </c>
      <c r="Q18" s="71">
        <f>Q19+Q20</f>
        <v>19.700000000000003</v>
      </c>
      <c r="R18" s="71">
        <f>R19+R20</f>
        <v>19.400000000000002</v>
      </c>
    </row>
    <row r="19" spans="1:18" ht="18">
      <c r="A19" s="13" t="s">
        <v>100</v>
      </c>
      <c r="B19" s="13">
        <v>1060603310</v>
      </c>
      <c r="C19" s="71">
        <v>81</v>
      </c>
      <c r="D19" s="68"/>
      <c r="E19" s="71">
        <f>C19+D19</f>
        <v>81</v>
      </c>
      <c r="F19" s="71"/>
      <c r="G19" s="71">
        <v>75.9</v>
      </c>
      <c r="H19" s="68">
        <f>G19+M19</f>
        <v>76.5</v>
      </c>
      <c r="I19" s="77">
        <f t="shared" si="1"/>
        <v>0.9444444444444444</v>
      </c>
      <c r="J19" s="77">
        <f t="shared" si="4"/>
        <v>0</v>
      </c>
      <c r="K19" s="71">
        <v>75.7</v>
      </c>
      <c r="L19" s="77">
        <f t="shared" si="3"/>
        <v>1.010568031704095</v>
      </c>
      <c r="M19" s="71">
        <v>0.6</v>
      </c>
      <c r="N19" s="71"/>
      <c r="O19" s="77">
        <f t="shared" si="2"/>
        <v>0</v>
      </c>
      <c r="P19" s="71"/>
      <c r="Q19" s="71">
        <v>0.1</v>
      </c>
      <c r="R19" s="71">
        <v>0.1</v>
      </c>
    </row>
    <row r="20" spans="1:18" ht="18">
      <c r="A20" s="13" t="s">
        <v>101</v>
      </c>
      <c r="B20" s="13">
        <v>1060604310</v>
      </c>
      <c r="C20" s="71">
        <v>50</v>
      </c>
      <c r="D20" s="68"/>
      <c r="E20" s="71">
        <f>C20+D20</f>
        <v>50</v>
      </c>
      <c r="F20" s="71"/>
      <c r="G20" s="71">
        <v>6.6</v>
      </c>
      <c r="H20" s="68">
        <f>G20+M20</f>
        <v>7.199999999999999</v>
      </c>
      <c r="I20" s="77">
        <f t="shared" si="1"/>
        <v>0.144</v>
      </c>
      <c r="J20" s="77">
        <f t="shared" si="4"/>
        <v>0</v>
      </c>
      <c r="K20" s="71">
        <v>1.3</v>
      </c>
      <c r="L20" s="77">
        <f t="shared" si="3"/>
        <v>5.538461538461537</v>
      </c>
      <c r="M20" s="71">
        <v>0.6</v>
      </c>
      <c r="N20" s="71">
        <v>0.5</v>
      </c>
      <c r="O20" s="77">
        <f t="shared" si="2"/>
        <v>1.2</v>
      </c>
      <c r="P20" s="71">
        <v>26.9</v>
      </c>
      <c r="Q20" s="71">
        <v>19.6</v>
      </c>
      <c r="R20" s="71">
        <v>19.3</v>
      </c>
    </row>
    <row r="21" spans="1:20" ht="18">
      <c r="A21" s="13" t="s">
        <v>12</v>
      </c>
      <c r="B21" s="13">
        <v>1060103010</v>
      </c>
      <c r="C21" s="71">
        <v>34</v>
      </c>
      <c r="D21" s="68"/>
      <c r="E21" s="71">
        <f>C21+D21</f>
        <v>34</v>
      </c>
      <c r="F21" s="71"/>
      <c r="G21" s="71">
        <v>1.6</v>
      </c>
      <c r="H21" s="68">
        <f>G21+M21</f>
        <v>1.7000000000000002</v>
      </c>
      <c r="I21" s="77">
        <f t="shared" si="1"/>
        <v>0.05</v>
      </c>
      <c r="J21" s="77">
        <f t="shared" si="4"/>
        <v>0</v>
      </c>
      <c r="K21" s="71">
        <v>8.7</v>
      </c>
      <c r="L21" s="77">
        <f t="shared" si="3"/>
        <v>0.19540229885057475</v>
      </c>
      <c r="M21" s="71">
        <v>0.1</v>
      </c>
      <c r="N21" s="71"/>
      <c r="O21" s="77">
        <f t="shared" si="2"/>
        <v>0</v>
      </c>
      <c r="P21" s="71">
        <v>9.8</v>
      </c>
      <c r="Q21" s="71">
        <v>8.2</v>
      </c>
      <c r="R21" s="71">
        <v>8.1</v>
      </c>
      <c r="S21" s="130"/>
      <c r="T21" s="158"/>
    </row>
    <row r="22" spans="1:18" ht="18">
      <c r="A22" s="9" t="s">
        <v>72</v>
      </c>
      <c r="B22" s="30">
        <v>1080402001</v>
      </c>
      <c r="C22" s="72">
        <v>3</v>
      </c>
      <c r="D22" s="73"/>
      <c r="E22" s="72">
        <f>C22+D22</f>
        <v>3</v>
      </c>
      <c r="F22" s="72"/>
      <c r="G22" s="72">
        <v>6.5</v>
      </c>
      <c r="H22" s="73">
        <f>G22+M22</f>
        <v>7.1</v>
      </c>
      <c r="I22" s="87">
        <f t="shared" si="1"/>
        <v>2.3666666666666667</v>
      </c>
      <c r="J22" s="87">
        <f t="shared" si="4"/>
        <v>0</v>
      </c>
      <c r="K22" s="72">
        <v>3.4</v>
      </c>
      <c r="L22" s="87">
        <f t="shared" si="3"/>
        <v>2.088235294117647</v>
      </c>
      <c r="M22" s="72">
        <v>0.6</v>
      </c>
      <c r="N22" s="72">
        <v>0.6</v>
      </c>
      <c r="O22" s="87">
        <f t="shared" si="2"/>
        <v>1</v>
      </c>
      <c r="P22" s="72"/>
      <c r="Q22" s="72"/>
      <c r="R22" s="72"/>
    </row>
    <row r="23" spans="1:18" ht="18" hidden="1">
      <c r="A23" s="9" t="s">
        <v>73</v>
      </c>
      <c r="B23" s="30">
        <v>1090405010</v>
      </c>
      <c r="C23" s="72"/>
      <c r="D23" s="72"/>
      <c r="E23" s="72">
        <f>C23+D23</f>
        <v>0</v>
      </c>
      <c r="F23" s="72"/>
      <c r="G23" s="72"/>
      <c r="H23" s="73">
        <f>G23+M23</f>
        <v>0</v>
      </c>
      <c r="I23" s="87">
        <f t="shared" si="1"/>
        <v>0</v>
      </c>
      <c r="J23" s="87">
        <f t="shared" si="4"/>
        <v>0</v>
      </c>
      <c r="K23" s="72"/>
      <c r="L23" s="87">
        <f t="shared" si="3"/>
        <v>0</v>
      </c>
      <c r="M23" s="72"/>
      <c r="N23" s="72"/>
      <c r="O23" s="87">
        <f t="shared" si="2"/>
        <v>0</v>
      </c>
      <c r="P23" s="72"/>
      <c r="Q23" s="72"/>
      <c r="R23" s="72"/>
    </row>
    <row r="24" spans="1:18" ht="18">
      <c r="A24" s="32" t="s">
        <v>22</v>
      </c>
      <c r="B24" s="32"/>
      <c r="C24" s="86">
        <f aca="true" t="shared" si="9" ref="C24:H24">C25+C29+C33+C31+C32+C30</f>
        <v>50</v>
      </c>
      <c r="D24" s="86">
        <f t="shared" si="9"/>
        <v>945.851</v>
      </c>
      <c r="E24" s="86">
        <f t="shared" si="9"/>
        <v>995.851</v>
      </c>
      <c r="F24" s="86">
        <f t="shared" si="9"/>
        <v>0</v>
      </c>
      <c r="G24" s="86">
        <f>G25+G29+G33+G31+G32+G30</f>
        <v>57.50000000000001</v>
      </c>
      <c r="H24" s="86">
        <f t="shared" si="9"/>
        <v>68.4</v>
      </c>
      <c r="I24" s="90">
        <f t="shared" si="1"/>
        <v>0.06868497395694738</v>
      </c>
      <c r="J24" s="90">
        <f t="shared" si="4"/>
        <v>0</v>
      </c>
      <c r="K24" s="86">
        <f>K25+K29+K33+K31+K32+K30</f>
        <v>41.800000000000004</v>
      </c>
      <c r="L24" s="90">
        <f t="shared" si="3"/>
        <v>1.6363636363636362</v>
      </c>
      <c r="M24" s="86">
        <f>M25+M29+M33+M31+M32+M30</f>
        <v>10.9</v>
      </c>
      <c r="N24" s="86">
        <f>N25+N29+N33+N31+N32+N30</f>
        <v>0</v>
      </c>
      <c r="O24" s="90">
        <f t="shared" si="2"/>
        <v>0</v>
      </c>
      <c r="P24" s="76">
        <f>P25+P29+P32</f>
        <v>0</v>
      </c>
      <c r="Q24" s="76">
        <f>Q25+Q29+Q32</f>
        <v>0</v>
      </c>
      <c r="R24" s="76">
        <f>R25+R29+R32</f>
        <v>0</v>
      </c>
    </row>
    <row r="25" spans="1:18" ht="18">
      <c r="A25" s="9" t="s">
        <v>74</v>
      </c>
      <c r="B25" s="30">
        <v>1110000000</v>
      </c>
      <c r="C25" s="72">
        <f aca="true" t="shared" si="10" ref="C25:H25">C26+C28+C27</f>
        <v>20</v>
      </c>
      <c r="D25" s="72">
        <f t="shared" si="10"/>
        <v>0</v>
      </c>
      <c r="E25" s="72">
        <f t="shared" si="10"/>
        <v>20</v>
      </c>
      <c r="F25" s="72">
        <f t="shared" si="10"/>
        <v>0</v>
      </c>
      <c r="G25" s="72">
        <f>G26+G28+G27</f>
        <v>12.2</v>
      </c>
      <c r="H25" s="72">
        <f t="shared" si="10"/>
        <v>13.5</v>
      </c>
      <c r="I25" s="87">
        <f t="shared" si="1"/>
        <v>0.675</v>
      </c>
      <c r="J25" s="87">
        <f t="shared" si="4"/>
        <v>0</v>
      </c>
      <c r="K25" s="72">
        <f>K26+K28+K27</f>
        <v>9.9</v>
      </c>
      <c r="L25" s="87">
        <f t="shared" si="3"/>
        <v>1.3636363636363635</v>
      </c>
      <c r="M25" s="72">
        <f>M26+M28+M27</f>
        <v>1.3</v>
      </c>
      <c r="N25" s="72">
        <f>N26+N28+N27</f>
        <v>0</v>
      </c>
      <c r="O25" s="87">
        <f t="shared" si="2"/>
        <v>0</v>
      </c>
      <c r="P25" s="72">
        <f>P26+P28+P27</f>
        <v>0</v>
      </c>
      <c r="Q25" s="72">
        <f>Q26+Q28+Q27</f>
        <v>0</v>
      </c>
      <c r="R25" s="72">
        <f>R26+R28+R27</f>
        <v>0</v>
      </c>
    </row>
    <row r="26" spans="1:18" ht="0.75" customHeight="1">
      <c r="A26" s="13" t="s">
        <v>26</v>
      </c>
      <c r="B26" s="13">
        <v>1110501013</v>
      </c>
      <c r="C26" s="71"/>
      <c r="D26" s="68"/>
      <c r="E26" s="71">
        <f aca="true" t="shared" si="11" ref="E26:E32">C26+D26</f>
        <v>0</v>
      </c>
      <c r="F26" s="71"/>
      <c r="G26" s="71"/>
      <c r="H26" s="68">
        <f aca="true" t="shared" si="12" ref="H26:H32">G26+M26</f>
        <v>0</v>
      </c>
      <c r="I26" s="77">
        <f t="shared" si="1"/>
        <v>0</v>
      </c>
      <c r="J26" s="77">
        <f t="shared" si="4"/>
        <v>0</v>
      </c>
      <c r="K26" s="71"/>
      <c r="L26" s="77">
        <f t="shared" si="3"/>
        <v>0</v>
      </c>
      <c r="M26" s="71"/>
      <c r="N26" s="71"/>
      <c r="O26" s="77">
        <f t="shared" si="2"/>
        <v>0</v>
      </c>
      <c r="P26" s="71"/>
      <c r="Q26" s="71"/>
      <c r="R26" s="71"/>
    </row>
    <row r="27" spans="1:18" ht="21" customHeight="1" hidden="1">
      <c r="A27" s="13" t="s">
        <v>27</v>
      </c>
      <c r="B27" s="13">
        <v>1110903510</v>
      </c>
      <c r="C27" s="71"/>
      <c r="D27" s="68"/>
      <c r="E27" s="71">
        <f t="shared" si="11"/>
        <v>0</v>
      </c>
      <c r="F27" s="71"/>
      <c r="G27" s="71"/>
      <c r="H27" s="68">
        <f t="shared" si="12"/>
        <v>0</v>
      </c>
      <c r="I27" s="77">
        <f t="shared" si="1"/>
        <v>0</v>
      </c>
      <c r="J27" s="77">
        <f t="shared" si="4"/>
        <v>0</v>
      </c>
      <c r="K27" s="71"/>
      <c r="L27" s="77">
        <f t="shared" si="3"/>
        <v>0</v>
      </c>
      <c r="M27" s="71"/>
      <c r="N27" s="71"/>
      <c r="O27" s="77">
        <f t="shared" si="2"/>
        <v>0</v>
      </c>
      <c r="P27" s="71"/>
      <c r="Q27" s="71"/>
      <c r="R27" s="71"/>
    </row>
    <row r="28" spans="1:18" ht="22.5" customHeight="1">
      <c r="A28" s="33" t="s">
        <v>23</v>
      </c>
      <c r="B28" s="13">
        <v>1110904510</v>
      </c>
      <c r="C28" s="71">
        <v>20</v>
      </c>
      <c r="D28" s="68"/>
      <c r="E28" s="71">
        <f t="shared" si="11"/>
        <v>20</v>
      </c>
      <c r="F28" s="71"/>
      <c r="G28" s="71">
        <v>12.2</v>
      </c>
      <c r="H28" s="68">
        <f t="shared" si="12"/>
        <v>13.5</v>
      </c>
      <c r="I28" s="77">
        <f t="shared" si="1"/>
        <v>0.675</v>
      </c>
      <c r="J28" s="77">
        <f t="shared" si="4"/>
        <v>0</v>
      </c>
      <c r="K28" s="71">
        <v>9.9</v>
      </c>
      <c r="L28" s="77">
        <f t="shared" si="3"/>
        <v>1.3636363636363635</v>
      </c>
      <c r="M28" s="71">
        <v>1.3</v>
      </c>
      <c r="N28" s="71"/>
      <c r="O28" s="77">
        <f t="shared" si="2"/>
        <v>0</v>
      </c>
      <c r="P28" s="71"/>
      <c r="Q28" s="71"/>
      <c r="R28" s="71"/>
    </row>
    <row r="29" spans="1:18" ht="18">
      <c r="A29" s="9" t="s">
        <v>38</v>
      </c>
      <c r="B29" s="30">
        <v>1130299510</v>
      </c>
      <c r="C29" s="72">
        <v>30</v>
      </c>
      <c r="D29" s="72">
        <f>831.851+4.5+109.5</f>
        <v>945.851</v>
      </c>
      <c r="E29" s="72">
        <f t="shared" si="11"/>
        <v>975.851</v>
      </c>
      <c r="F29" s="72"/>
      <c r="G29" s="72">
        <v>45.2</v>
      </c>
      <c r="H29" s="73">
        <f t="shared" si="12"/>
        <v>54.800000000000004</v>
      </c>
      <c r="I29" s="87">
        <f t="shared" si="1"/>
        <v>0.056156113996911415</v>
      </c>
      <c r="J29" s="87">
        <f t="shared" si="4"/>
        <v>0</v>
      </c>
      <c r="K29" s="72">
        <v>31.8</v>
      </c>
      <c r="L29" s="87">
        <f t="shared" si="3"/>
        <v>1.7232704402515724</v>
      </c>
      <c r="M29" s="72">
        <v>9.6</v>
      </c>
      <c r="N29" s="72"/>
      <c r="O29" s="87">
        <f t="shared" si="2"/>
        <v>0</v>
      </c>
      <c r="P29" s="72"/>
      <c r="Q29" s="72"/>
      <c r="R29" s="72"/>
    </row>
    <row r="30" spans="1:18" ht="18">
      <c r="A30" s="9" t="s">
        <v>45</v>
      </c>
      <c r="B30" s="30">
        <v>1140205310</v>
      </c>
      <c r="C30" s="72"/>
      <c r="D30" s="72"/>
      <c r="E30" s="72">
        <f t="shared" si="11"/>
        <v>0</v>
      </c>
      <c r="F30" s="72"/>
      <c r="G30" s="72"/>
      <c r="H30" s="73">
        <f t="shared" si="12"/>
        <v>0</v>
      </c>
      <c r="I30" s="87">
        <f t="shared" si="1"/>
        <v>0</v>
      </c>
      <c r="J30" s="87"/>
      <c r="K30" s="72"/>
      <c r="L30" s="87">
        <f t="shared" si="3"/>
        <v>0</v>
      </c>
      <c r="M30" s="72"/>
      <c r="N30" s="72"/>
      <c r="O30" s="87">
        <f t="shared" si="2"/>
        <v>0</v>
      </c>
      <c r="P30" s="72"/>
      <c r="Q30" s="72"/>
      <c r="R30" s="72"/>
    </row>
    <row r="31" spans="1:18" ht="18">
      <c r="A31" s="9" t="s">
        <v>78</v>
      </c>
      <c r="B31" s="30">
        <v>1140601410</v>
      </c>
      <c r="C31" s="72"/>
      <c r="D31" s="72"/>
      <c r="E31" s="72">
        <f t="shared" si="11"/>
        <v>0</v>
      </c>
      <c r="F31" s="72"/>
      <c r="G31" s="72"/>
      <c r="H31" s="73">
        <f t="shared" si="12"/>
        <v>0</v>
      </c>
      <c r="I31" s="87">
        <f t="shared" si="1"/>
        <v>0</v>
      </c>
      <c r="J31" s="87">
        <f t="shared" si="4"/>
        <v>0</v>
      </c>
      <c r="K31" s="72"/>
      <c r="L31" s="87">
        <f t="shared" si="3"/>
        <v>0</v>
      </c>
      <c r="M31" s="72"/>
      <c r="N31" s="72"/>
      <c r="O31" s="87">
        <f t="shared" si="2"/>
        <v>0</v>
      </c>
      <c r="P31" s="72"/>
      <c r="Q31" s="72"/>
      <c r="R31" s="72"/>
    </row>
    <row r="32" spans="1:18" ht="18">
      <c r="A32" s="9" t="s">
        <v>77</v>
      </c>
      <c r="B32" s="30">
        <v>1169005010</v>
      </c>
      <c r="C32" s="72"/>
      <c r="D32" s="72"/>
      <c r="E32" s="72">
        <f t="shared" si="11"/>
        <v>0</v>
      </c>
      <c r="F32" s="72"/>
      <c r="G32" s="72"/>
      <c r="H32" s="73">
        <f t="shared" si="12"/>
        <v>0</v>
      </c>
      <c r="I32" s="87">
        <f>IF(E32&gt;0,H32/E32,0)</f>
        <v>0</v>
      </c>
      <c r="J32" s="87">
        <f>IF(F32&gt;0,H32/F32,0)</f>
        <v>0</v>
      </c>
      <c r="K32" s="72"/>
      <c r="L32" s="87">
        <f t="shared" si="3"/>
        <v>0</v>
      </c>
      <c r="M32" s="72"/>
      <c r="N32" s="72"/>
      <c r="O32" s="87">
        <f t="shared" si="2"/>
        <v>0</v>
      </c>
      <c r="P32" s="72"/>
      <c r="Q32" s="72"/>
      <c r="R32" s="72"/>
    </row>
    <row r="33" spans="1:18" ht="18">
      <c r="A33" s="9" t="s">
        <v>69</v>
      </c>
      <c r="B33" s="30">
        <v>1170000000</v>
      </c>
      <c r="C33" s="73">
        <f aca="true" t="shared" si="13" ref="C33:H33">SUM(C34:C35)</f>
        <v>0</v>
      </c>
      <c r="D33" s="73">
        <f t="shared" si="13"/>
        <v>0</v>
      </c>
      <c r="E33" s="73">
        <f t="shared" si="13"/>
        <v>0</v>
      </c>
      <c r="F33" s="73">
        <f t="shared" si="13"/>
        <v>0</v>
      </c>
      <c r="G33" s="73">
        <f>SUM(G34:G35)</f>
        <v>0.1</v>
      </c>
      <c r="H33" s="73">
        <f t="shared" si="13"/>
        <v>0.1</v>
      </c>
      <c r="I33" s="87">
        <f>IF(E33&gt;0,H33/E33,0)</f>
        <v>0</v>
      </c>
      <c r="J33" s="87">
        <f>IF(F33&gt;0,H33/F33,0)</f>
        <v>0</v>
      </c>
      <c r="K33" s="73">
        <f>SUM(K34:K35)</f>
        <v>0.1</v>
      </c>
      <c r="L33" s="87">
        <f t="shared" si="3"/>
        <v>1</v>
      </c>
      <c r="M33" s="73">
        <f>SUM(M34:M35)</f>
        <v>0</v>
      </c>
      <c r="N33" s="73">
        <f>SUM(N34:N35)</f>
        <v>0</v>
      </c>
      <c r="O33" s="87">
        <f t="shared" si="2"/>
        <v>0</v>
      </c>
      <c r="P33" s="73">
        <f>SUM(P34:P35)</f>
        <v>0</v>
      </c>
      <c r="Q33" s="73">
        <f>SUM(Q34:Q35)</f>
        <v>0</v>
      </c>
      <c r="R33" s="73">
        <f>SUM(R34:R35)</f>
        <v>0</v>
      </c>
    </row>
    <row r="34" spans="1:18" ht="18">
      <c r="A34" s="13" t="s">
        <v>8</v>
      </c>
      <c r="B34" s="13">
        <v>1170103003</v>
      </c>
      <c r="C34" s="71"/>
      <c r="D34" s="71"/>
      <c r="E34" s="71">
        <f>C34+D34</f>
        <v>0</v>
      </c>
      <c r="F34" s="71"/>
      <c r="G34" s="71"/>
      <c r="H34" s="68">
        <f>G34+M34</f>
        <v>0</v>
      </c>
      <c r="I34" s="77">
        <f t="shared" si="1"/>
        <v>0</v>
      </c>
      <c r="J34" s="77">
        <f t="shared" si="4"/>
        <v>0</v>
      </c>
      <c r="K34" s="71"/>
      <c r="L34" s="77">
        <f t="shared" si="3"/>
        <v>0</v>
      </c>
      <c r="M34" s="71"/>
      <c r="N34" s="71"/>
      <c r="O34" s="77">
        <f aca="true" t="shared" si="14" ref="O34:O40">IF(N34&gt;0,M34/N34,0)</f>
        <v>0</v>
      </c>
      <c r="P34" s="77"/>
      <c r="Q34" s="77"/>
      <c r="R34" s="77"/>
    </row>
    <row r="35" spans="1:18" ht="18">
      <c r="A35" s="13" t="s">
        <v>33</v>
      </c>
      <c r="B35" s="13">
        <v>1170505010</v>
      </c>
      <c r="C35" s="71"/>
      <c r="D35" s="68"/>
      <c r="E35" s="71">
        <f>C35+D35</f>
        <v>0</v>
      </c>
      <c r="F35" s="71"/>
      <c r="G35" s="71">
        <v>0.1</v>
      </c>
      <c r="H35" s="68">
        <f>G35+M35</f>
        <v>0.1</v>
      </c>
      <c r="I35" s="77">
        <f>IF(E35&gt;0,H35/E35,0)</f>
        <v>0</v>
      </c>
      <c r="J35" s="77">
        <f>IF(F35&gt;0,H35/F35,0)</f>
        <v>0</v>
      </c>
      <c r="K35" s="71">
        <v>0.1</v>
      </c>
      <c r="L35" s="77">
        <f>IF(K35&gt;0,H35/K35,0)</f>
        <v>1</v>
      </c>
      <c r="M35" s="71"/>
      <c r="N35" s="71"/>
      <c r="O35" s="77">
        <f t="shared" si="14"/>
        <v>0</v>
      </c>
      <c r="P35" s="71"/>
      <c r="Q35" s="71"/>
      <c r="R35" s="71"/>
    </row>
    <row r="36" spans="1:20" ht="18">
      <c r="A36" s="9" t="s">
        <v>6</v>
      </c>
      <c r="B36" s="9">
        <v>1000000000</v>
      </c>
      <c r="C36" s="79">
        <f aca="true" t="shared" si="15" ref="C36:H36">C5+C24</f>
        <v>1490.7</v>
      </c>
      <c r="D36" s="78">
        <f t="shared" si="15"/>
        <v>945.851</v>
      </c>
      <c r="E36" s="78">
        <f t="shared" si="15"/>
        <v>2436.551</v>
      </c>
      <c r="F36" s="79" t="e">
        <f t="shared" si="15"/>
        <v>#REF!</v>
      </c>
      <c r="G36" s="79">
        <f>G5+G24</f>
        <v>590.3</v>
      </c>
      <c r="H36" s="79">
        <f t="shared" si="15"/>
        <v>686.3</v>
      </c>
      <c r="I36" s="91">
        <f t="shared" si="1"/>
        <v>0.28166863734844866</v>
      </c>
      <c r="J36" s="91" t="e">
        <f t="shared" si="4"/>
        <v>#REF!</v>
      </c>
      <c r="K36" s="79">
        <f>K5+K24</f>
        <v>728.5999999999999</v>
      </c>
      <c r="L36" s="91">
        <f t="shared" si="3"/>
        <v>0.9419434531979138</v>
      </c>
      <c r="M36" s="79">
        <f>M5+M24</f>
        <v>96</v>
      </c>
      <c r="N36" s="79">
        <f>N5+N24</f>
        <v>89</v>
      </c>
      <c r="O36" s="91">
        <f t="shared" si="14"/>
        <v>1.0786516853932584</v>
      </c>
      <c r="P36" s="79">
        <f>P5+P24</f>
        <v>36.900000000000006</v>
      </c>
      <c r="Q36" s="79">
        <f>Q5+Q24</f>
        <v>28.1</v>
      </c>
      <c r="R36" s="79">
        <f>R5+R24</f>
        <v>29.5</v>
      </c>
      <c r="S36" s="160"/>
      <c r="T36" s="158"/>
    </row>
    <row r="37" spans="1:18" ht="18">
      <c r="A37" s="9" t="s">
        <v>92</v>
      </c>
      <c r="B37" s="9"/>
      <c r="C37" s="79">
        <f aca="true" t="shared" si="16" ref="C37:H37">C36-C10</f>
        <v>799.4</v>
      </c>
      <c r="D37" s="78">
        <f t="shared" si="16"/>
        <v>945.851</v>
      </c>
      <c r="E37" s="78">
        <f t="shared" si="16"/>
        <v>1745.2509999999997</v>
      </c>
      <c r="F37" s="79" t="e">
        <f t="shared" si="16"/>
        <v>#REF!</v>
      </c>
      <c r="G37" s="79">
        <f>G36-G10</f>
        <v>351.4</v>
      </c>
      <c r="H37" s="79">
        <f t="shared" si="16"/>
        <v>405.9</v>
      </c>
      <c r="I37" s="91">
        <f>IF(E37&gt;0,H37/E37,0)</f>
        <v>0.23257399651969834</v>
      </c>
      <c r="J37" s="91" t="e">
        <f>IF(F37&gt;0,H37/F37,0)</f>
        <v>#REF!</v>
      </c>
      <c r="K37" s="79">
        <f>K36-K10</f>
        <v>411.2999999999999</v>
      </c>
      <c r="L37" s="91">
        <f t="shared" si="3"/>
        <v>0.9868708971553612</v>
      </c>
      <c r="M37" s="79">
        <f>M36-M10</f>
        <v>54.5</v>
      </c>
      <c r="N37" s="79">
        <f>N36-N10</f>
        <v>39.699999999999996</v>
      </c>
      <c r="O37" s="91">
        <f t="shared" si="14"/>
        <v>1.3727959697732999</v>
      </c>
      <c r="P37" s="79"/>
      <c r="Q37" s="79"/>
      <c r="R37" s="79"/>
    </row>
    <row r="38" spans="1:19" ht="18">
      <c r="A38" s="13" t="s">
        <v>25</v>
      </c>
      <c r="B38" s="13">
        <v>2000000000</v>
      </c>
      <c r="C38" s="71">
        <v>2746</v>
      </c>
      <c r="D38" s="83">
        <f>-645.5</f>
        <v>-645.5</v>
      </c>
      <c r="E38" s="71">
        <f>C38+D38</f>
        <v>2100.5</v>
      </c>
      <c r="F38" s="71"/>
      <c r="G38" s="71">
        <v>761.7</v>
      </c>
      <c r="H38" s="68">
        <f>G38+M38</f>
        <v>932.8000000000001</v>
      </c>
      <c r="I38" s="77">
        <f t="shared" si="1"/>
        <v>0.44408474172816</v>
      </c>
      <c r="J38" s="77">
        <f t="shared" si="4"/>
        <v>0</v>
      </c>
      <c r="K38" s="71">
        <v>1198.4</v>
      </c>
      <c r="L38" s="77">
        <f t="shared" si="3"/>
        <v>0.7783711615487316</v>
      </c>
      <c r="M38" s="71">
        <v>171.1</v>
      </c>
      <c r="N38" s="71">
        <v>170.2</v>
      </c>
      <c r="O38" s="77">
        <f t="shared" si="14"/>
        <v>1.0052878965922445</v>
      </c>
      <c r="P38" s="71"/>
      <c r="Q38" s="71"/>
      <c r="R38" s="71"/>
      <c r="S38" s="175"/>
    </row>
    <row r="39" spans="1:18" ht="18">
      <c r="A39" s="13" t="s">
        <v>47</v>
      </c>
      <c r="B39" s="34" t="s">
        <v>37</v>
      </c>
      <c r="C39" s="71"/>
      <c r="D39" s="82"/>
      <c r="E39" s="71">
        <f>C39+D39</f>
        <v>0</v>
      </c>
      <c r="F39" s="71"/>
      <c r="G39" s="71"/>
      <c r="H39" s="68">
        <f>G39+M39</f>
        <v>0</v>
      </c>
      <c r="I39" s="77">
        <f t="shared" si="1"/>
        <v>0</v>
      </c>
      <c r="J39" s="77"/>
      <c r="K39" s="71"/>
      <c r="L39" s="77">
        <f t="shared" si="3"/>
        <v>0</v>
      </c>
      <c r="M39" s="71"/>
      <c r="N39" s="71"/>
      <c r="O39" s="77">
        <f t="shared" si="14"/>
        <v>0</v>
      </c>
      <c r="P39" s="71"/>
      <c r="Q39" s="71"/>
      <c r="R39" s="71"/>
    </row>
    <row r="40" spans="1:18" ht="18">
      <c r="A40" s="9" t="s">
        <v>2</v>
      </c>
      <c r="B40" s="9">
        <v>0</v>
      </c>
      <c r="C40" s="88">
        <f>C36+C38+C39</f>
        <v>4236.7</v>
      </c>
      <c r="D40" s="78">
        <f>D36+D38+D39</f>
        <v>300.351</v>
      </c>
      <c r="E40" s="78">
        <f>E36+E38+E39</f>
        <v>4537.0509999999995</v>
      </c>
      <c r="F40" s="88" t="e">
        <f>F36+F38</f>
        <v>#REF!</v>
      </c>
      <c r="G40" s="79">
        <f>G36+G38+G39</f>
        <v>1352</v>
      </c>
      <c r="H40" s="79">
        <f>H36+H38+H39</f>
        <v>1619.1</v>
      </c>
      <c r="I40" s="91">
        <f t="shared" si="1"/>
        <v>0.356861758882587</v>
      </c>
      <c r="J40" s="91" t="e">
        <f t="shared" si="4"/>
        <v>#REF!</v>
      </c>
      <c r="K40" s="79">
        <f>K36+K38+K39</f>
        <v>1927</v>
      </c>
      <c r="L40" s="91">
        <f t="shared" si="3"/>
        <v>0.840217955371043</v>
      </c>
      <c r="M40" s="79">
        <f>M36+M38+M39</f>
        <v>267.1</v>
      </c>
      <c r="N40" s="79">
        <f>N36+N38+N39</f>
        <v>259.2</v>
      </c>
      <c r="O40" s="91">
        <f t="shared" si="14"/>
        <v>1.0304783950617284</v>
      </c>
      <c r="P40" s="92">
        <f>P36+P38</f>
        <v>36.900000000000006</v>
      </c>
      <c r="Q40" s="79">
        <f>Q36+Q38</f>
        <v>28.1</v>
      </c>
      <c r="R40" s="79">
        <f>R36+R38</f>
        <v>29.5</v>
      </c>
    </row>
    <row r="41" ht="18">
      <c r="I41" s="155"/>
    </row>
  </sheetData>
  <sheetProtection/>
  <mergeCells count="15">
    <mergeCell ref="D3:D4"/>
    <mergeCell ref="N3:N4"/>
    <mergeCell ref="O3:O4"/>
    <mergeCell ref="M3:M4"/>
    <mergeCell ref="F3:F4"/>
    <mergeCell ref="C1:M1"/>
    <mergeCell ref="B2:R2"/>
    <mergeCell ref="G3:G4"/>
    <mergeCell ref="K3:L3"/>
    <mergeCell ref="H3:J3"/>
    <mergeCell ref="A3:A4"/>
    <mergeCell ref="B3:B4"/>
    <mergeCell ref="C3:C4"/>
    <mergeCell ref="E3:E4"/>
    <mergeCell ref="P3:R3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1" sqref="R21"/>
    </sheetView>
  </sheetViews>
  <sheetFormatPr defaultColWidth="9.00390625" defaultRowHeight="12.75"/>
  <cols>
    <col min="1" max="1" width="41.375" style="0" customWidth="1"/>
    <col min="2" max="2" width="14.875" style="0" customWidth="1"/>
    <col min="3" max="3" width="14.75390625" style="0" customWidth="1"/>
    <col min="4" max="4" width="13.00390625" style="0" customWidth="1"/>
    <col min="5" max="5" width="15.125" style="0" customWidth="1"/>
    <col min="6" max="6" width="0.12890625" style="0" hidden="1" customWidth="1"/>
    <col min="7" max="7" width="10.875" style="0" customWidth="1"/>
    <col min="8" max="8" width="12.00390625" style="0" customWidth="1"/>
    <col min="9" max="9" width="12.375" style="0" customWidth="1"/>
    <col min="10" max="10" width="9.875" style="0" hidden="1" customWidth="1"/>
    <col min="11" max="11" width="10.375" style="0" customWidth="1"/>
    <col min="12" max="12" width="13.375" style="0" customWidth="1"/>
    <col min="13" max="13" width="11.00390625" style="0" customWidth="1"/>
    <col min="14" max="14" width="9.875" style="0" customWidth="1"/>
    <col min="15" max="15" width="14.25390625" style="0" customWidth="1"/>
    <col min="16" max="16" width="10.625" style="0" customWidth="1"/>
    <col min="17" max="18" width="9.875" style="0" customWidth="1"/>
    <col min="19" max="19" width="9.125" style="0" hidden="1" customWidth="1"/>
    <col min="20" max="20" width="10.25390625" style="0" bestFit="1" customWidth="1"/>
  </cols>
  <sheetData>
    <row r="1" spans="1:18" ht="15.75">
      <c r="A1" s="26"/>
      <c r="B1" s="48"/>
      <c r="C1" s="186" t="s">
        <v>11</v>
      </c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49"/>
      <c r="O1" s="49"/>
      <c r="P1" s="26"/>
      <c r="Q1" s="26"/>
      <c r="R1" s="26"/>
    </row>
    <row r="2" spans="1:18" ht="15.75">
      <c r="A2" s="26"/>
      <c r="B2" s="192" t="s">
        <v>128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</row>
    <row r="3" spans="1:18" ht="13.5" customHeight="1">
      <c r="A3" s="181" t="s">
        <v>3</v>
      </c>
      <c r="B3" s="181" t="s">
        <v>4</v>
      </c>
      <c r="C3" s="181" t="s">
        <v>115</v>
      </c>
      <c r="D3" s="181" t="s">
        <v>24</v>
      </c>
      <c r="E3" s="181" t="s">
        <v>116</v>
      </c>
      <c r="F3" s="181" t="s">
        <v>99</v>
      </c>
      <c r="G3" s="181" t="s">
        <v>119</v>
      </c>
      <c r="H3" s="181" t="s">
        <v>117</v>
      </c>
      <c r="I3" s="181"/>
      <c r="J3" s="181"/>
      <c r="K3" s="181" t="s">
        <v>111</v>
      </c>
      <c r="L3" s="181"/>
      <c r="M3" s="181" t="s">
        <v>122</v>
      </c>
      <c r="N3" s="181" t="s">
        <v>123</v>
      </c>
      <c r="O3" s="181" t="s">
        <v>30</v>
      </c>
      <c r="P3" s="181" t="s">
        <v>9</v>
      </c>
      <c r="Q3" s="181"/>
      <c r="R3" s="181"/>
    </row>
    <row r="4" spans="1:18" ht="93.75" customHeight="1">
      <c r="A4" s="190"/>
      <c r="B4" s="190"/>
      <c r="C4" s="181"/>
      <c r="D4" s="181"/>
      <c r="E4" s="181"/>
      <c r="F4" s="181"/>
      <c r="G4" s="181"/>
      <c r="H4" s="47" t="s">
        <v>121</v>
      </c>
      <c r="I4" s="47" t="s">
        <v>10</v>
      </c>
      <c r="J4" s="47" t="s">
        <v>29</v>
      </c>
      <c r="K4" s="47" t="s">
        <v>121</v>
      </c>
      <c r="L4" s="47" t="s">
        <v>30</v>
      </c>
      <c r="M4" s="181"/>
      <c r="N4" s="181"/>
      <c r="O4" s="181"/>
      <c r="P4" s="122" t="s">
        <v>114</v>
      </c>
      <c r="Q4" s="122" t="s">
        <v>120</v>
      </c>
      <c r="R4" s="122" t="s">
        <v>131</v>
      </c>
    </row>
    <row r="5" spans="1:20" ht="17.25" customHeight="1">
      <c r="A5" s="29" t="s">
        <v>21</v>
      </c>
      <c r="B5" s="29"/>
      <c r="C5" s="89">
        <f aca="true" t="shared" si="0" ref="C5:H5">C6+C15+C17+C22+C23+C10</f>
        <v>1750.6</v>
      </c>
      <c r="D5" s="89">
        <f t="shared" si="0"/>
        <v>0</v>
      </c>
      <c r="E5" s="89">
        <f t="shared" si="0"/>
        <v>1750.6</v>
      </c>
      <c r="F5" s="89">
        <f t="shared" si="0"/>
        <v>0</v>
      </c>
      <c r="G5" s="89">
        <f t="shared" si="0"/>
        <v>650.6999999999999</v>
      </c>
      <c r="H5" s="89">
        <f t="shared" si="0"/>
        <v>782.5</v>
      </c>
      <c r="I5" s="90">
        <f aca="true" t="shared" si="1" ref="I5:I39">IF(E5&gt;0,H5/E5,0)</f>
        <v>0.4469896035644922</v>
      </c>
      <c r="J5" s="90">
        <f>IF(F5&gt;0,H5/F5,0)</f>
        <v>0</v>
      </c>
      <c r="K5" s="89">
        <f>K6+K15+K17+K22+K23+K10</f>
        <v>881.6000000000001</v>
      </c>
      <c r="L5" s="90">
        <f>IF(K5&gt;0,H5/K5,0)</f>
        <v>0.8875907441016333</v>
      </c>
      <c r="M5" s="89">
        <f>M6+M15+M17+M22+M23+M10</f>
        <v>131.8</v>
      </c>
      <c r="N5" s="89">
        <f>N6+N15+N17+N22+N23+N10</f>
        <v>96.80000000000001</v>
      </c>
      <c r="O5" s="90">
        <f aca="true" t="shared" si="2" ref="O5:O39">IF(N5&gt;0,M5/N5,0)</f>
        <v>1.3615702479338843</v>
      </c>
      <c r="P5" s="89">
        <f>P6+P15+P17+P22+P23+P10</f>
        <v>81.5</v>
      </c>
      <c r="Q5" s="89">
        <f>Q6+Q15+Q17+Q22+Q23+Q10</f>
        <v>76.9</v>
      </c>
      <c r="R5" s="89">
        <f>R6+R15+R17+R22+R23+R10</f>
        <v>70.5</v>
      </c>
      <c r="T5" s="26"/>
    </row>
    <row r="6" spans="1:20" ht="18">
      <c r="A6" s="9" t="s">
        <v>63</v>
      </c>
      <c r="B6" s="30">
        <v>1010200001</v>
      </c>
      <c r="C6" s="72">
        <f aca="true" t="shared" si="3" ref="C6:H6">C7+C8+C9</f>
        <v>774</v>
      </c>
      <c r="D6" s="72">
        <f t="shared" si="3"/>
        <v>0</v>
      </c>
      <c r="E6" s="72">
        <f t="shared" si="3"/>
        <v>774</v>
      </c>
      <c r="F6" s="72">
        <f t="shared" si="3"/>
        <v>0</v>
      </c>
      <c r="G6" s="72">
        <f t="shared" si="3"/>
        <v>304.7</v>
      </c>
      <c r="H6" s="72">
        <f t="shared" si="3"/>
        <v>386.4</v>
      </c>
      <c r="I6" s="87">
        <f t="shared" si="1"/>
        <v>0.49922480620155035</v>
      </c>
      <c r="J6" s="87">
        <f>IF(F6&gt;0,H6/F6,0)</f>
        <v>0</v>
      </c>
      <c r="K6" s="93">
        <f>SUM(K7:K9)</f>
        <v>419.50000000000006</v>
      </c>
      <c r="L6" s="87">
        <f aca="true" t="shared" si="4" ref="L6:L39">IF(K6&gt;0,H6/K6,0)</f>
        <v>0.9210965435041715</v>
      </c>
      <c r="M6" s="72">
        <f>M7+M8+M9</f>
        <v>81.7</v>
      </c>
      <c r="N6" s="72">
        <f>N7+N8+N9</f>
        <v>48.900000000000006</v>
      </c>
      <c r="O6" s="87">
        <f t="shared" si="2"/>
        <v>1.6707566462167687</v>
      </c>
      <c r="P6" s="72">
        <f>P7+P8+P9</f>
        <v>10.799999999999999</v>
      </c>
      <c r="Q6" s="72">
        <f>Q7+Q8+Q9</f>
        <v>20.6</v>
      </c>
      <c r="R6" s="72">
        <f>R7+R8+R9</f>
        <v>13.7</v>
      </c>
      <c r="T6" s="26"/>
    </row>
    <row r="7" spans="1:20" ht="21" customHeight="1">
      <c r="A7" s="10" t="s">
        <v>44</v>
      </c>
      <c r="B7" s="13">
        <v>1010201001</v>
      </c>
      <c r="C7" s="71">
        <v>769.5</v>
      </c>
      <c r="D7" s="83"/>
      <c r="E7" s="71">
        <f>C7+D7</f>
        <v>769.5</v>
      </c>
      <c r="F7" s="71"/>
      <c r="G7" s="68">
        <v>304.7</v>
      </c>
      <c r="H7" s="68">
        <f>G7+M7</f>
        <v>386.4</v>
      </c>
      <c r="I7" s="77">
        <f t="shared" si="1"/>
        <v>0.5021442495126706</v>
      </c>
      <c r="J7" s="77">
        <f aca="true" t="shared" si="5" ref="J7:J37">IF(F7&gt;0,H7/F7,0)</f>
        <v>0</v>
      </c>
      <c r="K7" s="68">
        <v>407.3</v>
      </c>
      <c r="L7" s="77">
        <f t="shared" si="4"/>
        <v>0.9486864718880431</v>
      </c>
      <c r="M7" s="68">
        <v>81.7</v>
      </c>
      <c r="N7" s="68">
        <v>50.7</v>
      </c>
      <c r="O7" s="77">
        <f t="shared" si="2"/>
        <v>1.611439842209073</v>
      </c>
      <c r="P7" s="71">
        <v>10.2</v>
      </c>
      <c r="Q7" s="71">
        <v>20.6</v>
      </c>
      <c r="R7" s="71">
        <v>13.7</v>
      </c>
      <c r="T7" s="172"/>
    </row>
    <row r="8" spans="1:20" ht="18" customHeight="1">
      <c r="A8" s="10" t="s">
        <v>43</v>
      </c>
      <c r="B8" s="13">
        <v>1010202001</v>
      </c>
      <c r="C8" s="71"/>
      <c r="D8" s="68"/>
      <c r="E8" s="71">
        <f>C8+D8</f>
        <v>0</v>
      </c>
      <c r="F8" s="71"/>
      <c r="G8" s="71"/>
      <c r="H8" s="68">
        <f>G8+M8</f>
        <v>0</v>
      </c>
      <c r="I8" s="77">
        <f t="shared" si="1"/>
        <v>0</v>
      </c>
      <c r="J8" s="77">
        <f t="shared" si="5"/>
        <v>0</v>
      </c>
      <c r="K8" s="71">
        <v>-1.9</v>
      </c>
      <c r="L8" s="77">
        <f>IF(K8&gt;0,H8/K8,0)</f>
        <v>0</v>
      </c>
      <c r="M8" s="71"/>
      <c r="N8" s="71">
        <v>-1.9</v>
      </c>
      <c r="O8" s="77">
        <f t="shared" si="2"/>
        <v>0</v>
      </c>
      <c r="P8" s="71"/>
      <c r="Q8" s="71"/>
      <c r="R8" s="71"/>
      <c r="T8" s="26"/>
    </row>
    <row r="9" spans="1:20" ht="20.25" customHeight="1">
      <c r="A9" s="10" t="s">
        <v>42</v>
      </c>
      <c r="B9" s="13">
        <v>1010203001</v>
      </c>
      <c r="C9" s="71">
        <v>4.5</v>
      </c>
      <c r="D9" s="71"/>
      <c r="E9" s="71">
        <f>C9+D9</f>
        <v>4.5</v>
      </c>
      <c r="F9" s="71"/>
      <c r="G9" s="71"/>
      <c r="H9" s="68">
        <f>G9+M9</f>
        <v>0</v>
      </c>
      <c r="I9" s="77">
        <f t="shared" si="1"/>
        <v>0</v>
      </c>
      <c r="J9" s="77">
        <f t="shared" si="5"/>
        <v>0</v>
      </c>
      <c r="K9" s="71">
        <v>14.1</v>
      </c>
      <c r="L9" s="77">
        <f t="shared" si="4"/>
        <v>0</v>
      </c>
      <c r="M9" s="71"/>
      <c r="N9" s="71">
        <v>0.1</v>
      </c>
      <c r="O9" s="77">
        <f t="shared" si="2"/>
        <v>0</v>
      </c>
      <c r="P9" s="71">
        <v>0.6</v>
      </c>
      <c r="Q9" s="71"/>
      <c r="R9" s="71"/>
      <c r="T9" s="26"/>
    </row>
    <row r="10" spans="1:20" ht="16.5" customHeight="1">
      <c r="A10" s="11" t="s">
        <v>48</v>
      </c>
      <c r="B10" s="19">
        <v>1030200001</v>
      </c>
      <c r="C10" s="72">
        <f aca="true" t="shared" si="6" ref="C10:H10">SUM(C11:C14)</f>
        <v>611.5999999999999</v>
      </c>
      <c r="D10" s="72">
        <f t="shared" si="6"/>
        <v>0</v>
      </c>
      <c r="E10" s="72">
        <f t="shared" si="6"/>
        <v>611.5999999999999</v>
      </c>
      <c r="F10" s="72"/>
      <c r="G10" s="72">
        <f>SUM(G11:G14)</f>
        <v>211.49999999999997</v>
      </c>
      <c r="H10" s="72">
        <f t="shared" si="6"/>
        <v>248.1</v>
      </c>
      <c r="I10" s="66">
        <f t="shared" si="1"/>
        <v>0.4056572923479399</v>
      </c>
      <c r="J10" s="66">
        <f>IF(F10&gt;0,H10/F10,0)</f>
        <v>0</v>
      </c>
      <c r="K10" s="72">
        <f>SUM(K11:K14)</f>
        <v>281.3</v>
      </c>
      <c r="L10" s="66">
        <f t="shared" si="4"/>
        <v>0.8819765375044436</v>
      </c>
      <c r="M10" s="72">
        <f>SUM(M11:M14)</f>
        <v>36.6</v>
      </c>
      <c r="N10" s="72">
        <f>SUM(N11:N14)</f>
        <v>43.8</v>
      </c>
      <c r="O10" s="66">
        <f t="shared" si="2"/>
        <v>0.8356164383561645</v>
      </c>
      <c r="P10" s="72">
        <f>SUM(P11:P14)</f>
        <v>0</v>
      </c>
      <c r="Q10" s="72">
        <f>SUM(Q11:Q14)</f>
        <v>0</v>
      </c>
      <c r="R10" s="72">
        <f>SUM(R11:R14)</f>
        <v>0</v>
      </c>
      <c r="T10" s="26"/>
    </row>
    <row r="11" spans="1:20" ht="20.25" customHeight="1">
      <c r="A11" s="12" t="s">
        <v>49</v>
      </c>
      <c r="B11" s="12">
        <v>1030223101</v>
      </c>
      <c r="C11" s="71">
        <v>280.3</v>
      </c>
      <c r="D11" s="71"/>
      <c r="E11" s="67">
        <f>C11+D11</f>
        <v>280.3</v>
      </c>
      <c r="F11" s="67"/>
      <c r="G11" s="71">
        <v>99.5</v>
      </c>
      <c r="H11" s="69">
        <f>G11+M11</f>
        <v>117.6</v>
      </c>
      <c r="I11" s="70">
        <f t="shared" si="1"/>
        <v>0.41955048162682834</v>
      </c>
      <c r="J11" s="70">
        <f>IF(F11&gt;0,H11/F11,0)</f>
        <v>0</v>
      </c>
      <c r="K11" s="71">
        <v>127.7</v>
      </c>
      <c r="L11" s="70">
        <f t="shared" si="4"/>
        <v>0.9209083790133124</v>
      </c>
      <c r="M11" s="71">
        <v>18.1</v>
      </c>
      <c r="N11" s="71">
        <v>20.4</v>
      </c>
      <c r="O11" s="70">
        <f t="shared" si="2"/>
        <v>0.8872549019607845</v>
      </c>
      <c r="P11" s="71"/>
      <c r="Q11" s="71"/>
      <c r="R11" s="71"/>
      <c r="T11" s="26"/>
    </row>
    <row r="12" spans="1:20" ht="18" customHeight="1">
      <c r="A12" s="12" t="s">
        <v>50</v>
      </c>
      <c r="B12" s="12">
        <v>1030224101</v>
      </c>
      <c r="C12" s="71">
        <v>1.4</v>
      </c>
      <c r="D12" s="71"/>
      <c r="E12" s="67">
        <f>C12+D12</f>
        <v>1.4</v>
      </c>
      <c r="F12" s="67"/>
      <c r="G12" s="71">
        <v>0.6</v>
      </c>
      <c r="H12" s="69">
        <f>G12+M12</f>
        <v>0.7</v>
      </c>
      <c r="I12" s="70">
        <f t="shared" si="1"/>
        <v>0.5</v>
      </c>
      <c r="J12" s="70">
        <f>IF(F12&gt;0,H12/F12,0)</f>
        <v>0</v>
      </c>
      <c r="K12" s="71">
        <v>1</v>
      </c>
      <c r="L12" s="70">
        <f t="shared" si="4"/>
        <v>0.7</v>
      </c>
      <c r="M12" s="71">
        <v>0.1</v>
      </c>
      <c r="N12" s="71">
        <v>0.2</v>
      </c>
      <c r="O12" s="70">
        <f t="shared" si="2"/>
        <v>0.5</v>
      </c>
      <c r="P12" s="71"/>
      <c r="Q12" s="71"/>
      <c r="R12" s="71"/>
      <c r="T12" s="26"/>
    </row>
    <row r="13" spans="1:20" ht="18" customHeight="1">
      <c r="A13" s="12" t="s">
        <v>51</v>
      </c>
      <c r="B13" s="12">
        <v>1030225101</v>
      </c>
      <c r="C13" s="71">
        <v>366.1</v>
      </c>
      <c r="D13" s="71"/>
      <c r="E13" s="67">
        <f>C13+D13</f>
        <v>366.1</v>
      </c>
      <c r="F13" s="67"/>
      <c r="G13" s="71">
        <v>132.2</v>
      </c>
      <c r="H13" s="69">
        <f>G13+M13</f>
        <v>153.2</v>
      </c>
      <c r="I13" s="70">
        <f t="shared" si="1"/>
        <v>0.4184649003004643</v>
      </c>
      <c r="J13" s="70">
        <f>IF(F13&gt;0,H13/F13,0)</f>
        <v>0</v>
      </c>
      <c r="K13" s="71">
        <v>176.9</v>
      </c>
      <c r="L13" s="70">
        <f t="shared" si="4"/>
        <v>0.8660260033917466</v>
      </c>
      <c r="M13" s="71">
        <v>21</v>
      </c>
      <c r="N13" s="71">
        <v>28</v>
      </c>
      <c r="O13" s="70">
        <f t="shared" si="2"/>
        <v>0.75</v>
      </c>
      <c r="P13" s="71"/>
      <c r="Q13" s="71"/>
      <c r="R13" s="71"/>
      <c r="T13" s="26"/>
    </row>
    <row r="14" spans="1:20" ht="19.5" customHeight="1">
      <c r="A14" s="12" t="s">
        <v>52</v>
      </c>
      <c r="B14" s="12">
        <v>1030226101</v>
      </c>
      <c r="C14" s="71">
        <v>-36.2</v>
      </c>
      <c r="D14" s="71"/>
      <c r="E14" s="67">
        <f>C14+D14</f>
        <v>-36.2</v>
      </c>
      <c r="F14" s="67"/>
      <c r="G14" s="71">
        <v>-20.8</v>
      </c>
      <c r="H14" s="69">
        <f>G14+M14</f>
        <v>-23.400000000000002</v>
      </c>
      <c r="I14" s="70">
        <f>H14/E14</f>
        <v>0.6464088397790055</v>
      </c>
      <c r="J14" s="70">
        <f>IF(F14&gt;0,H14/F14,0)</f>
        <v>0</v>
      </c>
      <c r="K14" s="71">
        <v>-24.3</v>
      </c>
      <c r="L14" s="70">
        <f t="shared" si="4"/>
        <v>0</v>
      </c>
      <c r="M14" s="71">
        <v>-2.6</v>
      </c>
      <c r="N14" s="71">
        <v>-4.8</v>
      </c>
      <c r="O14" s="70">
        <f t="shared" si="2"/>
        <v>0</v>
      </c>
      <c r="P14" s="71"/>
      <c r="Q14" s="71"/>
      <c r="R14" s="71"/>
      <c r="T14" s="26"/>
    </row>
    <row r="15" spans="1:20" ht="18">
      <c r="A15" s="9" t="s">
        <v>70</v>
      </c>
      <c r="B15" s="30">
        <v>1050000000</v>
      </c>
      <c r="C15" s="72">
        <f aca="true" t="shared" si="7" ref="C15:H15">C16</f>
        <v>100</v>
      </c>
      <c r="D15" s="73">
        <f t="shared" si="7"/>
        <v>0</v>
      </c>
      <c r="E15" s="73">
        <f t="shared" si="7"/>
        <v>100</v>
      </c>
      <c r="F15" s="73">
        <f t="shared" si="7"/>
        <v>0</v>
      </c>
      <c r="G15" s="72">
        <f>G16</f>
        <v>60.5</v>
      </c>
      <c r="H15" s="73">
        <f t="shared" si="7"/>
        <v>72.7</v>
      </c>
      <c r="I15" s="87">
        <f t="shared" si="1"/>
        <v>0.727</v>
      </c>
      <c r="J15" s="87">
        <f t="shared" si="5"/>
        <v>0</v>
      </c>
      <c r="K15" s="72">
        <f>K16</f>
        <v>65.3</v>
      </c>
      <c r="L15" s="87">
        <f t="shared" si="4"/>
        <v>1.1133231240428791</v>
      </c>
      <c r="M15" s="72">
        <f>M16</f>
        <v>12.2</v>
      </c>
      <c r="N15" s="72">
        <f>N16</f>
        <v>0</v>
      </c>
      <c r="O15" s="87">
        <f t="shared" si="2"/>
        <v>0</v>
      </c>
      <c r="P15" s="72">
        <f>P16</f>
        <v>0</v>
      </c>
      <c r="Q15" s="72">
        <f>Q16</f>
        <v>0</v>
      </c>
      <c r="R15" s="72">
        <f>R16</f>
        <v>0</v>
      </c>
      <c r="T15" s="26"/>
    </row>
    <row r="16" spans="1:20" ht="18">
      <c r="A16" s="13" t="s">
        <v>7</v>
      </c>
      <c r="B16" s="13">
        <v>1050300001</v>
      </c>
      <c r="C16" s="71">
        <v>100</v>
      </c>
      <c r="D16" s="68"/>
      <c r="E16" s="71">
        <f>C16+D16</f>
        <v>100</v>
      </c>
      <c r="F16" s="71"/>
      <c r="G16" s="71">
        <v>60.5</v>
      </c>
      <c r="H16" s="68">
        <f>G16+M16</f>
        <v>72.7</v>
      </c>
      <c r="I16" s="77">
        <f t="shared" si="1"/>
        <v>0.727</v>
      </c>
      <c r="J16" s="77">
        <f t="shared" si="5"/>
        <v>0</v>
      </c>
      <c r="K16" s="71">
        <v>65.3</v>
      </c>
      <c r="L16" s="77">
        <f t="shared" si="4"/>
        <v>1.1133231240428791</v>
      </c>
      <c r="M16" s="71">
        <v>12.2</v>
      </c>
      <c r="N16" s="71"/>
      <c r="O16" s="77">
        <f t="shared" si="2"/>
        <v>0</v>
      </c>
      <c r="P16" s="71"/>
      <c r="Q16" s="71"/>
      <c r="R16" s="71"/>
      <c r="T16" s="26"/>
    </row>
    <row r="17" spans="1:20" ht="18">
      <c r="A17" s="9" t="s">
        <v>71</v>
      </c>
      <c r="B17" s="30">
        <v>1060000000</v>
      </c>
      <c r="C17" s="72">
        <f aca="true" t="shared" si="8" ref="C17:H17">C18+C21</f>
        <v>260</v>
      </c>
      <c r="D17" s="73">
        <f t="shared" si="8"/>
        <v>0</v>
      </c>
      <c r="E17" s="73">
        <f t="shared" si="8"/>
        <v>260</v>
      </c>
      <c r="F17" s="73">
        <f t="shared" si="8"/>
        <v>0</v>
      </c>
      <c r="G17" s="72">
        <f>G18+G21</f>
        <v>63</v>
      </c>
      <c r="H17" s="73">
        <f t="shared" si="8"/>
        <v>63.6</v>
      </c>
      <c r="I17" s="87">
        <f t="shared" si="1"/>
        <v>0.24461538461538462</v>
      </c>
      <c r="J17" s="87">
        <f t="shared" si="5"/>
        <v>0</v>
      </c>
      <c r="K17" s="72">
        <f>K18+K21</f>
        <v>112.9</v>
      </c>
      <c r="L17" s="87">
        <f t="shared" si="4"/>
        <v>0.5633303808680248</v>
      </c>
      <c r="M17" s="72">
        <f>M18+M21</f>
        <v>0.6</v>
      </c>
      <c r="N17" s="72">
        <f>N18+N21</f>
        <v>4.1</v>
      </c>
      <c r="O17" s="87">
        <f t="shared" si="2"/>
        <v>0.14634146341463417</v>
      </c>
      <c r="P17" s="72">
        <f>P18+P21</f>
        <v>70.7</v>
      </c>
      <c r="Q17" s="72">
        <f>Q18+Q21</f>
        <v>56.300000000000004</v>
      </c>
      <c r="R17" s="72">
        <f>R18+R21</f>
        <v>56.8</v>
      </c>
      <c r="T17" s="26"/>
    </row>
    <row r="18" spans="1:20" ht="18">
      <c r="A18" s="13" t="s">
        <v>13</v>
      </c>
      <c r="B18" s="13">
        <v>1060600000</v>
      </c>
      <c r="C18" s="71">
        <f aca="true" t="shared" si="9" ref="C18:H18">C19+C20</f>
        <v>200</v>
      </c>
      <c r="D18" s="68">
        <f t="shared" si="9"/>
        <v>0</v>
      </c>
      <c r="E18" s="68">
        <f t="shared" si="9"/>
        <v>200</v>
      </c>
      <c r="F18" s="68">
        <f t="shared" si="9"/>
        <v>0</v>
      </c>
      <c r="G18" s="68">
        <f>G19+G20</f>
        <v>61.5</v>
      </c>
      <c r="H18" s="68">
        <f t="shared" si="9"/>
        <v>61.800000000000004</v>
      </c>
      <c r="I18" s="77">
        <f t="shared" si="1"/>
        <v>0.309</v>
      </c>
      <c r="J18" s="77">
        <f t="shared" si="5"/>
        <v>0</v>
      </c>
      <c r="K18" s="68">
        <f>K19+K20</f>
        <v>82.30000000000001</v>
      </c>
      <c r="L18" s="77">
        <f t="shared" si="4"/>
        <v>0.7509113001215066</v>
      </c>
      <c r="M18" s="68">
        <f>M19+M20</f>
        <v>0.3</v>
      </c>
      <c r="N18" s="68">
        <f>N19+N20</f>
        <v>1</v>
      </c>
      <c r="O18" s="77">
        <f t="shared" si="2"/>
        <v>0.3</v>
      </c>
      <c r="P18" s="71">
        <f>P19+P20</f>
        <v>55.2</v>
      </c>
      <c r="Q18" s="71">
        <f>Q19+Q20</f>
        <v>42.7</v>
      </c>
      <c r="R18" s="71">
        <f>R19+R20</f>
        <v>43.1</v>
      </c>
      <c r="T18" s="26"/>
    </row>
    <row r="19" spans="1:20" ht="18">
      <c r="A19" s="13" t="s">
        <v>100</v>
      </c>
      <c r="B19" s="13">
        <v>1060603310</v>
      </c>
      <c r="C19" s="71">
        <v>92</v>
      </c>
      <c r="D19" s="68"/>
      <c r="E19" s="71">
        <f>C19+D19</f>
        <v>92</v>
      </c>
      <c r="F19" s="71"/>
      <c r="G19" s="71">
        <v>52.1</v>
      </c>
      <c r="H19" s="68">
        <f>G19+M19</f>
        <v>52.1</v>
      </c>
      <c r="I19" s="77">
        <f t="shared" si="1"/>
        <v>0.566304347826087</v>
      </c>
      <c r="J19" s="77">
        <f t="shared" si="5"/>
        <v>0</v>
      </c>
      <c r="K19" s="71">
        <v>73.4</v>
      </c>
      <c r="L19" s="77">
        <f t="shared" si="4"/>
        <v>0.7098092643051771</v>
      </c>
      <c r="M19" s="71"/>
      <c r="N19" s="71"/>
      <c r="O19" s="77">
        <f t="shared" si="2"/>
        <v>0</v>
      </c>
      <c r="P19" s="71"/>
      <c r="Q19" s="71"/>
      <c r="R19" s="71"/>
      <c r="T19" s="26"/>
    </row>
    <row r="20" spans="1:20" ht="18">
      <c r="A20" s="13" t="s">
        <v>101</v>
      </c>
      <c r="B20" s="13">
        <v>1060604310</v>
      </c>
      <c r="C20" s="71">
        <v>108</v>
      </c>
      <c r="D20" s="68"/>
      <c r="E20" s="71">
        <f>C20+D20</f>
        <v>108</v>
      </c>
      <c r="F20" s="71"/>
      <c r="G20" s="71">
        <v>9.4</v>
      </c>
      <c r="H20" s="68">
        <f>G20+M20</f>
        <v>9.700000000000001</v>
      </c>
      <c r="I20" s="77">
        <f t="shared" si="1"/>
        <v>0.08981481481481482</v>
      </c>
      <c r="J20" s="77">
        <f t="shared" si="5"/>
        <v>0</v>
      </c>
      <c r="K20" s="71">
        <v>8.9</v>
      </c>
      <c r="L20" s="77">
        <f t="shared" si="4"/>
        <v>1.0898876404494382</v>
      </c>
      <c r="M20" s="71">
        <v>0.3</v>
      </c>
      <c r="N20" s="71">
        <v>1</v>
      </c>
      <c r="O20" s="77">
        <f t="shared" si="2"/>
        <v>0.3</v>
      </c>
      <c r="P20" s="71">
        <v>55.2</v>
      </c>
      <c r="Q20" s="71">
        <v>42.7</v>
      </c>
      <c r="R20" s="71">
        <v>43.1</v>
      </c>
      <c r="T20" s="26"/>
    </row>
    <row r="21" spans="1:20" ht="18">
      <c r="A21" s="13" t="s">
        <v>12</v>
      </c>
      <c r="B21" s="13">
        <v>1060103010</v>
      </c>
      <c r="C21" s="71">
        <v>60</v>
      </c>
      <c r="D21" s="68"/>
      <c r="E21" s="71">
        <f>C21+D21</f>
        <v>60</v>
      </c>
      <c r="F21" s="71"/>
      <c r="G21" s="71">
        <v>1.5</v>
      </c>
      <c r="H21" s="68">
        <f>G21+M21</f>
        <v>1.8</v>
      </c>
      <c r="I21" s="77">
        <f t="shared" si="1"/>
        <v>0.030000000000000002</v>
      </c>
      <c r="J21" s="77">
        <f t="shared" si="5"/>
        <v>0</v>
      </c>
      <c r="K21" s="71">
        <v>30.6</v>
      </c>
      <c r="L21" s="77">
        <f t="shared" si="4"/>
        <v>0.058823529411764705</v>
      </c>
      <c r="M21" s="71">
        <v>0.3</v>
      </c>
      <c r="N21" s="71">
        <v>3.1</v>
      </c>
      <c r="O21" s="77">
        <f t="shared" si="2"/>
        <v>0.0967741935483871</v>
      </c>
      <c r="P21" s="71">
        <v>15.5</v>
      </c>
      <c r="Q21" s="71">
        <v>13.6</v>
      </c>
      <c r="R21" s="71">
        <v>13.7</v>
      </c>
      <c r="T21" s="172"/>
    </row>
    <row r="22" spans="1:20" ht="17.25" customHeight="1">
      <c r="A22" s="9" t="s">
        <v>72</v>
      </c>
      <c r="B22" s="30">
        <v>1080402001</v>
      </c>
      <c r="C22" s="72">
        <v>5</v>
      </c>
      <c r="D22" s="73"/>
      <c r="E22" s="72">
        <f>C22+D22</f>
        <v>5</v>
      </c>
      <c r="F22" s="72"/>
      <c r="G22" s="72">
        <v>11</v>
      </c>
      <c r="H22" s="73">
        <f>G22+M22</f>
        <v>11.7</v>
      </c>
      <c r="I22" s="87">
        <f t="shared" si="1"/>
        <v>2.34</v>
      </c>
      <c r="J22" s="87">
        <f t="shared" si="5"/>
        <v>0</v>
      </c>
      <c r="K22" s="72">
        <v>2.6</v>
      </c>
      <c r="L22" s="87">
        <f t="shared" si="4"/>
        <v>4.5</v>
      </c>
      <c r="M22" s="72">
        <v>0.7</v>
      </c>
      <c r="N22" s="72"/>
      <c r="O22" s="87">
        <f t="shared" si="2"/>
        <v>0</v>
      </c>
      <c r="P22" s="72"/>
      <c r="Q22" s="72"/>
      <c r="R22" s="72"/>
      <c r="T22" s="26"/>
    </row>
    <row r="23" spans="1:20" ht="18" hidden="1">
      <c r="A23" s="9" t="s">
        <v>73</v>
      </c>
      <c r="B23" s="30">
        <v>1090405010</v>
      </c>
      <c r="C23" s="72"/>
      <c r="D23" s="72"/>
      <c r="E23" s="72">
        <f>C23+D23</f>
        <v>0</v>
      </c>
      <c r="F23" s="72"/>
      <c r="G23" s="72"/>
      <c r="H23" s="73">
        <f>G23+M23</f>
        <v>0</v>
      </c>
      <c r="I23" s="87">
        <f t="shared" si="1"/>
        <v>0</v>
      </c>
      <c r="J23" s="87">
        <f t="shared" si="5"/>
        <v>0</v>
      </c>
      <c r="K23" s="72"/>
      <c r="L23" s="87">
        <f t="shared" si="4"/>
        <v>0</v>
      </c>
      <c r="M23" s="72"/>
      <c r="N23" s="72"/>
      <c r="O23" s="87">
        <f t="shared" si="2"/>
        <v>0</v>
      </c>
      <c r="P23" s="72"/>
      <c r="Q23" s="72"/>
      <c r="R23" s="72"/>
      <c r="T23" s="26"/>
    </row>
    <row r="24" spans="1:20" ht="18">
      <c r="A24" s="32" t="s">
        <v>22</v>
      </c>
      <c r="B24" s="32"/>
      <c r="C24" s="86">
        <f aca="true" t="shared" si="10" ref="C24:H24">C25+C28+C32+C29+C31+C30</f>
        <v>630</v>
      </c>
      <c r="D24" s="86">
        <f t="shared" si="10"/>
        <v>1325.759</v>
      </c>
      <c r="E24" s="86">
        <f t="shared" si="10"/>
        <v>1955.759</v>
      </c>
      <c r="F24" s="86">
        <f t="shared" si="10"/>
        <v>0</v>
      </c>
      <c r="G24" s="86">
        <f>G25+G28+G32+G29+G31+G30</f>
        <v>246.29999999999998</v>
      </c>
      <c r="H24" s="86">
        <f t="shared" si="10"/>
        <v>291.4</v>
      </c>
      <c r="I24" s="90">
        <f t="shared" si="1"/>
        <v>0.14899586298720854</v>
      </c>
      <c r="J24" s="90">
        <f t="shared" si="5"/>
        <v>0</v>
      </c>
      <c r="K24" s="86">
        <f>K25+K28+K32+K29+K31+K30</f>
        <v>296.2</v>
      </c>
      <c r="L24" s="90">
        <f t="shared" si="4"/>
        <v>0.9837947332883187</v>
      </c>
      <c r="M24" s="86">
        <f>M25+M28+M32+M29+M31+M30</f>
        <v>45.1</v>
      </c>
      <c r="N24" s="86">
        <f>N25+N28+N32+N29+N31+N30</f>
        <v>53</v>
      </c>
      <c r="O24" s="90">
        <f t="shared" si="2"/>
        <v>0.8509433962264151</v>
      </c>
      <c r="P24" s="76">
        <f>P25+P28+P32+P29</f>
        <v>0</v>
      </c>
      <c r="Q24" s="76">
        <f>Q25+Q28+Q32+Q29</f>
        <v>0</v>
      </c>
      <c r="R24" s="76">
        <f>R25+R28+R32+R29</f>
        <v>0</v>
      </c>
      <c r="T24" s="26"/>
    </row>
    <row r="25" spans="1:20" ht="18">
      <c r="A25" s="9" t="s">
        <v>74</v>
      </c>
      <c r="B25" s="30">
        <v>1110000000</v>
      </c>
      <c r="C25" s="72">
        <f aca="true" t="shared" si="11" ref="C25:H25">C26+C27</f>
        <v>100</v>
      </c>
      <c r="D25" s="72">
        <f t="shared" si="11"/>
        <v>800.623</v>
      </c>
      <c r="E25" s="72">
        <f t="shared" si="11"/>
        <v>900.623</v>
      </c>
      <c r="F25" s="72">
        <f t="shared" si="11"/>
        <v>0</v>
      </c>
      <c r="G25" s="72">
        <f>G26+G27</f>
        <v>51.1</v>
      </c>
      <c r="H25" s="72">
        <f t="shared" si="11"/>
        <v>57.2</v>
      </c>
      <c r="I25" s="87">
        <f t="shared" si="1"/>
        <v>0.06351159142060551</v>
      </c>
      <c r="J25" s="87">
        <f t="shared" si="5"/>
        <v>0</v>
      </c>
      <c r="K25" s="72">
        <f>K26+K27</f>
        <v>52.2</v>
      </c>
      <c r="L25" s="87">
        <f t="shared" si="4"/>
        <v>1.0957854406130267</v>
      </c>
      <c r="M25" s="72">
        <f>M26+M27</f>
        <v>6.1</v>
      </c>
      <c r="N25" s="72">
        <f>N26+N27</f>
        <v>6.8</v>
      </c>
      <c r="O25" s="87">
        <f t="shared" si="2"/>
        <v>0.8970588235294117</v>
      </c>
      <c r="P25" s="72">
        <f>P26+P27</f>
        <v>0</v>
      </c>
      <c r="Q25" s="72">
        <f>Q26+Q27</f>
        <v>0</v>
      </c>
      <c r="R25" s="72">
        <f>R26+R27</f>
        <v>0</v>
      </c>
      <c r="T25" s="26"/>
    </row>
    <row r="26" spans="1:20" ht="19.5" customHeight="1">
      <c r="A26" s="13" t="s">
        <v>106</v>
      </c>
      <c r="B26" s="13">
        <v>1110502510</v>
      </c>
      <c r="C26" s="71"/>
      <c r="D26" s="68"/>
      <c r="E26" s="71">
        <f aca="true" t="shared" si="12" ref="E26:E31">C26+D26</f>
        <v>0</v>
      </c>
      <c r="F26" s="71"/>
      <c r="G26" s="71"/>
      <c r="H26" s="68">
        <f aca="true" t="shared" si="13" ref="H26:H31">G26+M26</f>
        <v>0</v>
      </c>
      <c r="I26" s="77">
        <f t="shared" si="1"/>
        <v>0</v>
      </c>
      <c r="J26" s="77">
        <f t="shared" si="5"/>
        <v>0</v>
      </c>
      <c r="K26" s="71"/>
      <c r="L26" s="77">
        <f t="shared" si="4"/>
        <v>0</v>
      </c>
      <c r="M26" s="71"/>
      <c r="N26" s="71"/>
      <c r="O26" s="77">
        <f t="shared" si="2"/>
        <v>0</v>
      </c>
      <c r="P26" s="71"/>
      <c r="Q26" s="71"/>
      <c r="R26" s="71"/>
      <c r="T26" s="26"/>
    </row>
    <row r="27" spans="1:20" ht="18">
      <c r="A27" s="33" t="s">
        <v>23</v>
      </c>
      <c r="B27" s="13">
        <v>1110904510</v>
      </c>
      <c r="C27" s="71">
        <v>100</v>
      </c>
      <c r="D27" s="83">
        <f>800.623</f>
        <v>800.623</v>
      </c>
      <c r="E27" s="71">
        <f t="shared" si="12"/>
        <v>900.623</v>
      </c>
      <c r="F27" s="71"/>
      <c r="G27" s="71">
        <v>51.1</v>
      </c>
      <c r="H27" s="68">
        <f t="shared" si="13"/>
        <v>57.2</v>
      </c>
      <c r="I27" s="77">
        <f t="shared" si="1"/>
        <v>0.06351159142060551</v>
      </c>
      <c r="J27" s="77">
        <f t="shared" si="5"/>
        <v>0</v>
      </c>
      <c r="K27" s="71">
        <v>52.2</v>
      </c>
      <c r="L27" s="77">
        <f t="shared" si="4"/>
        <v>1.0957854406130267</v>
      </c>
      <c r="M27" s="71">
        <v>6.1</v>
      </c>
      <c r="N27" s="71">
        <v>6.8</v>
      </c>
      <c r="O27" s="77">
        <f t="shared" si="2"/>
        <v>0.8970588235294117</v>
      </c>
      <c r="P27" s="71"/>
      <c r="Q27" s="71"/>
      <c r="R27" s="71"/>
      <c r="T27" s="26"/>
    </row>
    <row r="28" spans="1:20" ht="18">
      <c r="A28" s="9" t="s">
        <v>38</v>
      </c>
      <c r="B28" s="30">
        <v>1130299510</v>
      </c>
      <c r="C28" s="72">
        <v>530</v>
      </c>
      <c r="D28" s="72">
        <f>0.136+525</f>
        <v>525.136</v>
      </c>
      <c r="E28" s="72">
        <f t="shared" si="12"/>
        <v>1055.136</v>
      </c>
      <c r="F28" s="72"/>
      <c r="G28" s="72">
        <v>195</v>
      </c>
      <c r="H28" s="73">
        <f t="shared" si="13"/>
        <v>234</v>
      </c>
      <c r="I28" s="87">
        <f t="shared" si="1"/>
        <v>0.22177235920298427</v>
      </c>
      <c r="J28" s="87">
        <f t="shared" si="5"/>
        <v>0</v>
      </c>
      <c r="K28" s="72">
        <v>243.8</v>
      </c>
      <c r="L28" s="87">
        <f t="shared" si="4"/>
        <v>0.9598031173092698</v>
      </c>
      <c r="M28" s="72">
        <v>39</v>
      </c>
      <c r="N28" s="72">
        <v>46.2</v>
      </c>
      <c r="O28" s="87">
        <f t="shared" si="2"/>
        <v>0.8441558441558441</v>
      </c>
      <c r="P28" s="72"/>
      <c r="Q28" s="72"/>
      <c r="R28" s="72"/>
      <c r="T28" s="26"/>
    </row>
    <row r="29" spans="1:20" ht="18">
      <c r="A29" s="9" t="s">
        <v>76</v>
      </c>
      <c r="B29" s="30">
        <v>1140601410</v>
      </c>
      <c r="C29" s="72"/>
      <c r="D29" s="72"/>
      <c r="E29" s="72">
        <f t="shared" si="12"/>
        <v>0</v>
      </c>
      <c r="F29" s="72"/>
      <c r="G29" s="72"/>
      <c r="H29" s="73">
        <f t="shared" si="13"/>
        <v>0</v>
      </c>
      <c r="I29" s="87">
        <f>IF(E29&gt;0,H29/E29,0)</f>
        <v>0</v>
      </c>
      <c r="J29" s="87">
        <f>IF(F29&gt;0,H29/F29,0)</f>
        <v>0</v>
      </c>
      <c r="K29" s="72"/>
      <c r="L29" s="87">
        <f t="shared" si="4"/>
        <v>0</v>
      </c>
      <c r="M29" s="72"/>
      <c r="N29" s="72"/>
      <c r="O29" s="87">
        <f t="shared" si="2"/>
        <v>0</v>
      </c>
      <c r="P29" s="72"/>
      <c r="Q29" s="72"/>
      <c r="R29" s="72"/>
      <c r="T29" s="26"/>
    </row>
    <row r="30" spans="1:20" ht="18">
      <c r="A30" s="9" t="s">
        <v>75</v>
      </c>
      <c r="B30" s="30">
        <v>1140205310</v>
      </c>
      <c r="C30" s="72"/>
      <c r="D30" s="72"/>
      <c r="E30" s="72">
        <f t="shared" si="12"/>
        <v>0</v>
      </c>
      <c r="F30" s="72"/>
      <c r="G30" s="72"/>
      <c r="H30" s="73">
        <f t="shared" si="13"/>
        <v>0</v>
      </c>
      <c r="I30" s="87">
        <f>IF(E30&gt;0,H30/E30,0)</f>
        <v>0</v>
      </c>
      <c r="J30" s="87">
        <f>IF(F30&gt;0,H30/F30,0)</f>
        <v>0</v>
      </c>
      <c r="K30" s="72"/>
      <c r="L30" s="87">
        <f t="shared" si="4"/>
        <v>0</v>
      </c>
      <c r="M30" s="72"/>
      <c r="N30" s="72"/>
      <c r="O30" s="87">
        <f t="shared" si="2"/>
        <v>0</v>
      </c>
      <c r="P30" s="72"/>
      <c r="Q30" s="72"/>
      <c r="R30" s="72"/>
      <c r="T30" s="26"/>
    </row>
    <row r="31" spans="1:20" ht="18">
      <c r="A31" s="9" t="s">
        <v>79</v>
      </c>
      <c r="B31" s="30">
        <v>1169005010</v>
      </c>
      <c r="C31" s="72"/>
      <c r="D31" s="72"/>
      <c r="E31" s="72">
        <f t="shared" si="12"/>
        <v>0</v>
      </c>
      <c r="F31" s="72"/>
      <c r="G31" s="72"/>
      <c r="H31" s="73">
        <f t="shared" si="13"/>
        <v>0</v>
      </c>
      <c r="I31" s="87">
        <f>IF(E31&gt;0,H31/E31,0)</f>
        <v>0</v>
      </c>
      <c r="J31" s="87">
        <f>IF(F31&gt;0,H31/F31,0)</f>
        <v>0</v>
      </c>
      <c r="K31" s="72"/>
      <c r="L31" s="87">
        <f t="shared" si="4"/>
        <v>0</v>
      </c>
      <c r="M31" s="72"/>
      <c r="N31" s="72"/>
      <c r="O31" s="87">
        <f t="shared" si="2"/>
        <v>0</v>
      </c>
      <c r="P31" s="72"/>
      <c r="Q31" s="72"/>
      <c r="R31" s="72"/>
      <c r="T31" s="26"/>
    </row>
    <row r="32" spans="1:20" ht="18">
      <c r="A32" s="9" t="s">
        <v>69</v>
      </c>
      <c r="B32" s="30">
        <v>1170000000</v>
      </c>
      <c r="C32" s="72">
        <f>SUM(C33:C34)</f>
        <v>0</v>
      </c>
      <c r="D32" s="72">
        <f aca="true" t="shared" si="14" ref="D32:R32">SUM(D33:D34)</f>
        <v>0</v>
      </c>
      <c r="E32" s="72">
        <f t="shared" si="14"/>
        <v>0</v>
      </c>
      <c r="F32" s="72">
        <f t="shared" si="14"/>
        <v>0</v>
      </c>
      <c r="G32" s="72">
        <f>SUM(G33:G34)</f>
        <v>0.2</v>
      </c>
      <c r="H32" s="72">
        <f t="shared" si="14"/>
        <v>0.2</v>
      </c>
      <c r="I32" s="87">
        <f>IF(E32&gt;0,H32/E32,0)</f>
        <v>0</v>
      </c>
      <c r="J32" s="87">
        <f>IF(F32&gt;0,H32/F32,0)</f>
        <v>0</v>
      </c>
      <c r="K32" s="72">
        <f>SUM(K33:K34)</f>
        <v>0.2</v>
      </c>
      <c r="L32" s="87">
        <f t="shared" si="4"/>
        <v>1</v>
      </c>
      <c r="M32" s="72">
        <f t="shared" si="14"/>
        <v>0</v>
      </c>
      <c r="N32" s="72">
        <f t="shared" si="14"/>
        <v>0</v>
      </c>
      <c r="O32" s="87">
        <f t="shared" si="2"/>
        <v>0</v>
      </c>
      <c r="P32" s="72">
        <f t="shared" si="14"/>
        <v>0</v>
      </c>
      <c r="Q32" s="72">
        <f>SUM(Q33:Q34)</f>
        <v>0</v>
      </c>
      <c r="R32" s="72">
        <f t="shared" si="14"/>
        <v>0</v>
      </c>
      <c r="T32" s="26"/>
    </row>
    <row r="33" spans="1:20" ht="18">
      <c r="A33" s="13" t="s">
        <v>8</v>
      </c>
      <c r="B33" s="13">
        <v>1170103003</v>
      </c>
      <c r="C33" s="71"/>
      <c r="D33" s="71"/>
      <c r="E33" s="71">
        <f>C33+D33</f>
        <v>0</v>
      </c>
      <c r="F33" s="71"/>
      <c r="G33" s="71"/>
      <c r="H33" s="68">
        <f>G33+M33</f>
        <v>0</v>
      </c>
      <c r="I33" s="77">
        <f t="shared" si="1"/>
        <v>0</v>
      </c>
      <c r="J33" s="77">
        <f t="shared" si="5"/>
        <v>0</v>
      </c>
      <c r="K33" s="71"/>
      <c r="L33" s="77">
        <f t="shared" si="4"/>
        <v>0</v>
      </c>
      <c r="M33" s="71"/>
      <c r="N33" s="71"/>
      <c r="O33" s="77">
        <f t="shared" si="2"/>
        <v>0</v>
      </c>
      <c r="P33" s="77"/>
      <c r="Q33" s="77"/>
      <c r="R33" s="77"/>
      <c r="T33" s="26"/>
    </row>
    <row r="34" spans="1:20" ht="18">
      <c r="A34" s="13" t="s">
        <v>33</v>
      </c>
      <c r="B34" s="13">
        <v>1170505010</v>
      </c>
      <c r="C34" s="71"/>
      <c r="D34" s="68"/>
      <c r="E34" s="71">
        <f>C34+D34</f>
        <v>0</v>
      </c>
      <c r="F34" s="71"/>
      <c r="G34" s="71">
        <v>0.2</v>
      </c>
      <c r="H34" s="68">
        <f>G34+M34</f>
        <v>0.2</v>
      </c>
      <c r="I34" s="77">
        <f>IF(E34&gt;0,H34/E34,0)</f>
        <v>0</v>
      </c>
      <c r="J34" s="77">
        <f>IF(F34&gt;0,H34/F34,0)</f>
        <v>0</v>
      </c>
      <c r="K34" s="71">
        <v>0.2</v>
      </c>
      <c r="L34" s="77">
        <f>IF(K34&gt;0,H34/K34,0)</f>
        <v>1</v>
      </c>
      <c r="M34" s="71"/>
      <c r="N34" s="71"/>
      <c r="O34" s="77">
        <f>IF(N34&gt;0,M34/N34,0)</f>
        <v>0</v>
      </c>
      <c r="P34" s="71"/>
      <c r="Q34" s="71"/>
      <c r="R34" s="71"/>
      <c r="T34" s="26"/>
    </row>
    <row r="35" spans="1:20" ht="18">
      <c r="A35" s="9" t="s">
        <v>6</v>
      </c>
      <c r="B35" s="9">
        <v>1000000000</v>
      </c>
      <c r="C35" s="79">
        <f aca="true" t="shared" si="15" ref="C35:H35">C5+C24</f>
        <v>2380.6</v>
      </c>
      <c r="D35" s="78">
        <f t="shared" si="15"/>
        <v>1325.759</v>
      </c>
      <c r="E35" s="78">
        <f t="shared" si="15"/>
        <v>3706.359</v>
      </c>
      <c r="F35" s="79">
        <f t="shared" si="15"/>
        <v>0</v>
      </c>
      <c r="G35" s="79">
        <f>G5+G24</f>
        <v>896.9999999999999</v>
      </c>
      <c r="H35" s="79">
        <f t="shared" si="15"/>
        <v>1073.9</v>
      </c>
      <c r="I35" s="91">
        <f t="shared" si="1"/>
        <v>0.28974527292148444</v>
      </c>
      <c r="J35" s="91">
        <f t="shared" si="5"/>
        <v>0</v>
      </c>
      <c r="K35" s="79">
        <f>K5+K24</f>
        <v>1177.8000000000002</v>
      </c>
      <c r="L35" s="91">
        <f t="shared" si="4"/>
        <v>0.911784683307862</v>
      </c>
      <c r="M35" s="79">
        <f>M5+M24</f>
        <v>176.9</v>
      </c>
      <c r="N35" s="79">
        <f>N5+N24</f>
        <v>149.8</v>
      </c>
      <c r="O35" s="91">
        <f t="shared" si="2"/>
        <v>1.1809078771695594</v>
      </c>
      <c r="P35" s="79">
        <f>P5+P24</f>
        <v>81.5</v>
      </c>
      <c r="Q35" s="79">
        <f>Q5+Q24</f>
        <v>76.9</v>
      </c>
      <c r="R35" s="79">
        <f>R5+R24</f>
        <v>70.5</v>
      </c>
      <c r="T35" s="26"/>
    </row>
    <row r="36" spans="1:20" ht="18">
      <c r="A36" s="9" t="s">
        <v>92</v>
      </c>
      <c r="B36" s="9"/>
      <c r="C36" s="79">
        <f aca="true" t="shared" si="16" ref="C36:H36">C35-C10</f>
        <v>1769</v>
      </c>
      <c r="D36" s="78">
        <f t="shared" si="16"/>
        <v>1325.759</v>
      </c>
      <c r="E36" s="78">
        <f t="shared" si="16"/>
        <v>3094.759</v>
      </c>
      <c r="F36" s="79">
        <f t="shared" si="16"/>
        <v>0</v>
      </c>
      <c r="G36" s="79">
        <f>G35-G10</f>
        <v>685.4999999999999</v>
      </c>
      <c r="H36" s="79">
        <f t="shared" si="16"/>
        <v>825.8000000000001</v>
      </c>
      <c r="I36" s="91">
        <f>IF(E36&gt;0,H36/E36,0)</f>
        <v>0.2668382255290315</v>
      </c>
      <c r="J36" s="91">
        <f>IF(F36&gt;0,H36/F36,0)</f>
        <v>0</v>
      </c>
      <c r="K36" s="79">
        <f>K35-K10</f>
        <v>896.5000000000002</v>
      </c>
      <c r="L36" s="91">
        <f t="shared" si="4"/>
        <v>0.9211377579475737</v>
      </c>
      <c r="M36" s="79">
        <f>M35-M10</f>
        <v>140.3</v>
      </c>
      <c r="N36" s="79">
        <f>N35-N10</f>
        <v>106.00000000000001</v>
      </c>
      <c r="O36" s="91">
        <f t="shared" si="2"/>
        <v>1.3235849056603772</v>
      </c>
      <c r="P36" s="79"/>
      <c r="Q36" s="79"/>
      <c r="R36" s="79"/>
      <c r="T36" s="174"/>
    </row>
    <row r="37" spans="1:20" ht="18">
      <c r="A37" s="13" t="s">
        <v>25</v>
      </c>
      <c r="B37" s="13">
        <v>2000000000</v>
      </c>
      <c r="C37" s="83">
        <v>7714.7</v>
      </c>
      <c r="D37" s="83">
        <f>-532.6+40</f>
        <v>-492.6</v>
      </c>
      <c r="E37" s="83">
        <f>C37+D37</f>
        <v>7222.099999999999</v>
      </c>
      <c r="F37" s="71"/>
      <c r="G37" s="71">
        <v>929.3</v>
      </c>
      <c r="H37" s="68">
        <f>G37+M37</f>
        <v>1146.1</v>
      </c>
      <c r="I37" s="77">
        <f t="shared" si="1"/>
        <v>0.1586934548123122</v>
      </c>
      <c r="J37" s="77">
        <f t="shared" si="5"/>
        <v>0</v>
      </c>
      <c r="K37" s="71">
        <v>1974.6</v>
      </c>
      <c r="L37" s="77">
        <f t="shared" si="4"/>
        <v>0.5804213511597285</v>
      </c>
      <c r="M37" s="71">
        <v>216.8</v>
      </c>
      <c r="N37" s="71">
        <v>60.4</v>
      </c>
      <c r="O37" s="77">
        <f t="shared" si="2"/>
        <v>3.589403973509934</v>
      </c>
      <c r="P37" s="71"/>
      <c r="Q37" s="71"/>
      <c r="R37" s="71"/>
      <c r="T37" s="26"/>
    </row>
    <row r="38" spans="1:20" ht="18">
      <c r="A38" s="13" t="s">
        <v>46</v>
      </c>
      <c r="B38" s="34" t="s">
        <v>102</v>
      </c>
      <c r="C38" s="71"/>
      <c r="D38" s="83">
        <f>271.92-28.013</f>
        <v>243.907</v>
      </c>
      <c r="E38" s="71">
        <f>C38+D38</f>
        <v>243.907</v>
      </c>
      <c r="F38" s="71"/>
      <c r="G38" s="71"/>
      <c r="H38" s="68">
        <f>G38+M38</f>
        <v>0</v>
      </c>
      <c r="I38" s="77">
        <f>IF(E38&gt;0,H38/E38,0)</f>
        <v>0</v>
      </c>
      <c r="J38" s="77">
        <f>IF(F38&gt;0,H38/F38,0)</f>
        <v>0</v>
      </c>
      <c r="K38" s="71"/>
      <c r="L38" s="77">
        <f t="shared" si="4"/>
        <v>0</v>
      </c>
      <c r="M38" s="71"/>
      <c r="N38" s="71"/>
      <c r="O38" s="77">
        <f t="shared" si="2"/>
        <v>0</v>
      </c>
      <c r="P38" s="71"/>
      <c r="Q38" s="71"/>
      <c r="R38" s="71"/>
      <c r="T38" s="26"/>
    </row>
    <row r="39" spans="1:20" ht="18">
      <c r="A39" s="9" t="s">
        <v>2</v>
      </c>
      <c r="B39" s="9">
        <v>0</v>
      </c>
      <c r="C39" s="78">
        <f aca="true" t="shared" si="17" ref="C39:H39">C35+C37+C38</f>
        <v>10095.3</v>
      </c>
      <c r="D39" s="88">
        <f t="shared" si="17"/>
        <v>1077.066</v>
      </c>
      <c r="E39" s="78">
        <f t="shared" si="17"/>
        <v>11172.365999999998</v>
      </c>
      <c r="F39" s="79">
        <f t="shared" si="17"/>
        <v>0</v>
      </c>
      <c r="G39" s="79">
        <f t="shared" si="17"/>
        <v>1826.2999999999997</v>
      </c>
      <c r="H39" s="79">
        <f t="shared" si="17"/>
        <v>2220</v>
      </c>
      <c r="I39" s="91">
        <f t="shared" si="1"/>
        <v>0.19870455371762796</v>
      </c>
      <c r="J39" s="91"/>
      <c r="K39" s="79">
        <f>K35+K37+K38</f>
        <v>3152.4</v>
      </c>
      <c r="L39" s="91">
        <f t="shared" si="4"/>
        <v>0.704225352112676</v>
      </c>
      <c r="M39" s="79">
        <f>M35+M37+M38</f>
        <v>393.70000000000005</v>
      </c>
      <c r="N39" s="79">
        <f>N35+N37+N38</f>
        <v>210.20000000000002</v>
      </c>
      <c r="O39" s="91">
        <f t="shared" si="2"/>
        <v>1.872978116079924</v>
      </c>
      <c r="P39" s="92">
        <f>P35+P37</f>
        <v>81.5</v>
      </c>
      <c r="Q39" s="79">
        <f>Q35+Q37</f>
        <v>76.9</v>
      </c>
      <c r="R39" s="79">
        <f>R35+R37</f>
        <v>70.5</v>
      </c>
      <c r="T39" s="26"/>
    </row>
    <row r="40" spans="8:20" ht="21.75" customHeight="1">
      <c r="H40" s="27"/>
      <c r="I40" s="27"/>
      <c r="T40" s="26"/>
    </row>
  </sheetData>
  <sheetProtection/>
  <mergeCells count="15">
    <mergeCell ref="D3:D4"/>
    <mergeCell ref="N3:N4"/>
    <mergeCell ref="O3:O4"/>
    <mergeCell ref="M3:M4"/>
    <mergeCell ref="F3:F4"/>
    <mergeCell ref="C1:M1"/>
    <mergeCell ref="B2:R2"/>
    <mergeCell ref="G3:G4"/>
    <mergeCell ref="K3:L3"/>
    <mergeCell ref="H3:J3"/>
    <mergeCell ref="A3:A4"/>
    <mergeCell ref="B3:B4"/>
    <mergeCell ref="C3:C4"/>
    <mergeCell ref="E3:E4"/>
    <mergeCell ref="P3:R3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17" sqref="R17"/>
    </sheetView>
  </sheetViews>
  <sheetFormatPr defaultColWidth="9.00390625" defaultRowHeight="12.75"/>
  <cols>
    <col min="1" max="1" width="37.875" style="0" customWidth="1"/>
    <col min="2" max="2" width="15.125" style="0" customWidth="1"/>
    <col min="3" max="3" width="14.25390625" style="0" customWidth="1"/>
    <col min="4" max="4" width="13.75390625" style="0" customWidth="1"/>
    <col min="5" max="5" width="13.125" style="0" customWidth="1"/>
    <col min="6" max="6" width="0.6171875" style="0" hidden="1" customWidth="1"/>
    <col min="7" max="7" width="10.875" style="0" customWidth="1"/>
    <col min="8" max="8" width="11.375" style="0" customWidth="1"/>
    <col min="9" max="9" width="12.375" style="0" customWidth="1"/>
    <col min="10" max="10" width="10.75390625" style="0" hidden="1" customWidth="1"/>
    <col min="11" max="11" width="10.875" style="0" customWidth="1"/>
    <col min="12" max="12" width="13.75390625" style="0" customWidth="1"/>
    <col min="13" max="13" width="10.375" style="0" customWidth="1"/>
    <col min="14" max="14" width="10.75390625" style="0" customWidth="1"/>
    <col min="15" max="15" width="13.875" style="0" customWidth="1"/>
    <col min="16" max="16" width="10.75390625" style="0" customWidth="1"/>
    <col min="17" max="17" width="10.125" style="0" customWidth="1"/>
  </cols>
  <sheetData>
    <row r="1" spans="1:18" ht="15.75">
      <c r="A1" s="26"/>
      <c r="B1" s="48"/>
      <c r="C1" s="186" t="s">
        <v>11</v>
      </c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49"/>
      <c r="O1" s="49"/>
      <c r="P1" s="26"/>
      <c r="Q1" s="26"/>
      <c r="R1" s="26"/>
    </row>
    <row r="2" spans="1:18" ht="15.75">
      <c r="A2" s="26"/>
      <c r="B2" s="192" t="s">
        <v>129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</row>
    <row r="3" spans="1:18" ht="13.5" customHeight="1">
      <c r="A3" s="181" t="s">
        <v>3</v>
      </c>
      <c r="B3" s="181" t="s">
        <v>4</v>
      </c>
      <c r="C3" s="181" t="s">
        <v>115</v>
      </c>
      <c r="D3" s="181" t="s">
        <v>24</v>
      </c>
      <c r="E3" s="181" t="s">
        <v>116</v>
      </c>
      <c r="F3" s="181" t="s">
        <v>99</v>
      </c>
      <c r="G3" s="181" t="s">
        <v>119</v>
      </c>
      <c r="H3" s="181" t="s">
        <v>117</v>
      </c>
      <c r="I3" s="181"/>
      <c r="J3" s="181"/>
      <c r="K3" s="181" t="s">
        <v>111</v>
      </c>
      <c r="L3" s="181"/>
      <c r="M3" s="181" t="s">
        <v>122</v>
      </c>
      <c r="N3" s="181" t="s">
        <v>123</v>
      </c>
      <c r="O3" s="181" t="s">
        <v>30</v>
      </c>
      <c r="P3" s="181" t="s">
        <v>9</v>
      </c>
      <c r="Q3" s="181"/>
      <c r="R3" s="181"/>
    </row>
    <row r="4" spans="1:18" ht="104.25" customHeight="1">
      <c r="A4" s="190"/>
      <c r="B4" s="190"/>
      <c r="C4" s="181"/>
      <c r="D4" s="181"/>
      <c r="E4" s="181"/>
      <c r="F4" s="181"/>
      <c r="G4" s="181"/>
      <c r="H4" s="47" t="s">
        <v>121</v>
      </c>
      <c r="I4" s="47" t="s">
        <v>10</v>
      </c>
      <c r="J4" s="47" t="s">
        <v>29</v>
      </c>
      <c r="K4" s="47" t="s">
        <v>121</v>
      </c>
      <c r="L4" s="47" t="s">
        <v>30</v>
      </c>
      <c r="M4" s="181"/>
      <c r="N4" s="181"/>
      <c r="O4" s="181"/>
      <c r="P4" s="122" t="s">
        <v>114</v>
      </c>
      <c r="Q4" s="122" t="s">
        <v>120</v>
      </c>
      <c r="R4" s="122" t="s">
        <v>131</v>
      </c>
    </row>
    <row r="5" spans="1:18" ht="20.25" customHeight="1">
      <c r="A5" s="29" t="s">
        <v>21</v>
      </c>
      <c r="B5" s="29"/>
      <c r="C5" s="89">
        <f aca="true" t="shared" si="0" ref="C5:H5">C6+C15+C17+C22+C23+C10</f>
        <v>1005.3000000000001</v>
      </c>
      <c r="D5" s="89">
        <f t="shared" si="0"/>
        <v>0</v>
      </c>
      <c r="E5" s="89">
        <f t="shared" si="0"/>
        <v>1005.3000000000001</v>
      </c>
      <c r="F5" s="89">
        <f t="shared" si="0"/>
        <v>0</v>
      </c>
      <c r="G5" s="89">
        <f t="shared" si="0"/>
        <v>347</v>
      </c>
      <c r="H5" s="89">
        <f t="shared" si="0"/>
        <v>413.00000000000006</v>
      </c>
      <c r="I5" s="90">
        <f aca="true" t="shared" si="1" ref="I5:I39">IF(E5&gt;0,H5/E5,0)</f>
        <v>0.4108226400079579</v>
      </c>
      <c r="J5" s="90">
        <f>IF(F5&gt;0,H5/F5,0)</f>
        <v>0</v>
      </c>
      <c r="K5" s="89">
        <f>K6+K15+K17+K22+K23+K10</f>
        <v>480.70000000000005</v>
      </c>
      <c r="L5" s="90">
        <f>IF(K5&gt;0,H5/K5,0)</f>
        <v>0.8591637195756189</v>
      </c>
      <c r="M5" s="89">
        <f>M6+M15+M17+M22+M23+M10</f>
        <v>66</v>
      </c>
      <c r="N5" s="89">
        <f>N6+N15+N17+N22+N23+N10</f>
        <v>83</v>
      </c>
      <c r="O5" s="90">
        <f aca="true" t="shared" si="2" ref="O5:O32">IF(N5&gt;0,M5/N5,0)</f>
        <v>0.7951807228915663</v>
      </c>
      <c r="P5" s="89">
        <f>P6+P15+P17+P22+P23+P10</f>
        <v>39.4</v>
      </c>
      <c r="Q5" s="89">
        <f>Q6+Q15+Q17+Q22+Q23+Q10</f>
        <v>31.3</v>
      </c>
      <c r="R5" s="89">
        <f>R6+R15+R17+R22+R23+R10</f>
        <v>31.3</v>
      </c>
    </row>
    <row r="6" spans="1:18" ht="18">
      <c r="A6" s="9" t="s">
        <v>63</v>
      </c>
      <c r="B6" s="30">
        <v>1010200001</v>
      </c>
      <c r="C6" s="72">
        <f aca="true" t="shared" si="3" ref="C6:H6">C7+C8+C9</f>
        <v>225.9</v>
      </c>
      <c r="D6" s="72">
        <f t="shared" si="3"/>
        <v>0</v>
      </c>
      <c r="E6" s="72">
        <f t="shared" si="3"/>
        <v>225.9</v>
      </c>
      <c r="F6" s="72">
        <f t="shared" si="3"/>
        <v>0</v>
      </c>
      <c r="G6" s="72">
        <f t="shared" si="3"/>
        <v>80.8</v>
      </c>
      <c r="H6" s="72">
        <f t="shared" si="3"/>
        <v>101.3</v>
      </c>
      <c r="I6" s="87">
        <f t="shared" si="1"/>
        <v>0.44842850818946434</v>
      </c>
      <c r="J6" s="87">
        <f>IF(F6&gt;0,H6/F6,0)</f>
        <v>0</v>
      </c>
      <c r="K6" s="72">
        <f>K7+K8+K9</f>
        <v>124.2</v>
      </c>
      <c r="L6" s="87">
        <f aca="true" t="shared" si="4" ref="L6:L39">IF(K6&gt;0,H6/K6,0)</f>
        <v>0.8156199677938808</v>
      </c>
      <c r="M6" s="72">
        <f>M7+M8+M9</f>
        <v>20.5</v>
      </c>
      <c r="N6" s="72">
        <f>N7+N8+N9</f>
        <v>18.8</v>
      </c>
      <c r="O6" s="87">
        <f t="shared" si="2"/>
        <v>1.0904255319148937</v>
      </c>
      <c r="P6" s="72">
        <f>P7+P8+P9</f>
        <v>0</v>
      </c>
      <c r="Q6" s="72">
        <f>Q7+Q8+Q9</f>
        <v>0</v>
      </c>
      <c r="R6" s="72">
        <f>R7+R8+R9</f>
        <v>0</v>
      </c>
    </row>
    <row r="7" spans="1:18" ht="18" customHeight="1">
      <c r="A7" s="10" t="s">
        <v>44</v>
      </c>
      <c r="B7" s="13">
        <v>1010201001</v>
      </c>
      <c r="C7" s="71">
        <v>225</v>
      </c>
      <c r="D7" s="68"/>
      <c r="E7" s="71">
        <f>C7+D7</f>
        <v>225</v>
      </c>
      <c r="F7" s="71"/>
      <c r="G7" s="68">
        <v>80.8</v>
      </c>
      <c r="H7" s="68">
        <f>G7+M7</f>
        <v>101.3</v>
      </c>
      <c r="I7" s="77">
        <f t="shared" si="1"/>
        <v>0.4502222222222222</v>
      </c>
      <c r="J7" s="77">
        <f aca="true" t="shared" si="5" ref="J7:J37">IF(F7&gt;0,H7/F7,0)</f>
        <v>0</v>
      </c>
      <c r="K7" s="68">
        <v>124.2</v>
      </c>
      <c r="L7" s="77">
        <f t="shared" si="4"/>
        <v>0.8156199677938808</v>
      </c>
      <c r="M7" s="68">
        <v>20.5</v>
      </c>
      <c r="N7" s="68">
        <v>18.8</v>
      </c>
      <c r="O7" s="77">
        <f t="shared" si="2"/>
        <v>1.0904255319148937</v>
      </c>
      <c r="P7" s="71"/>
      <c r="Q7" s="71"/>
      <c r="R7" s="71"/>
    </row>
    <row r="8" spans="1:18" ht="18" customHeight="1">
      <c r="A8" s="10" t="s">
        <v>43</v>
      </c>
      <c r="B8" s="13">
        <v>1010202001</v>
      </c>
      <c r="C8" s="71"/>
      <c r="D8" s="68"/>
      <c r="E8" s="71">
        <f>C8+D8</f>
        <v>0</v>
      </c>
      <c r="F8" s="71"/>
      <c r="G8" s="71"/>
      <c r="H8" s="68">
        <f>G8+M8</f>
        <v>0</v>
      </c>
      <c r="I8" s="77">
        <f t="shared" si="1"/>
        <v>0</v>
      </c>
      <c r="J8" s="77">
        <f t="shared" si="5"/>
        <v>0</v>
      </c>
      <c r="K8" s="71"/>
      <c r="L8" s="77">
        <f>IF(K8&gt;0,H8/K8,0)</f>
        <v>0</v>
      </c>
      <c r="M8" s="71"/>
      <c r="N8" s="71"/>
      <c r="O8" s="77">
        <f>IF(N8&gt;0,M8/N8,0)</f>
        <v>0</v>
      </c>
      <c r="P8" s="71"/>
      <c r="Q8" s="71"/>
      <c r="R8" s="71"/>
    </row>
    <row r="9" spans="1:18" ht="18">
      <c r="A9" s="10" t="s">
        <v>42</v>
      </c>
      <c r="B9" s="13">
        <v>1010203001</v>
      </c>
      <c r="C9" s="71">
        <v>0.9</v>
      </c>
      <c r="D9" s="71"/>
      <c r="E9" s="71">
        <f>C9+D9</f>
        <v>0.9</v>
      </c>
      <c r="F9" s="71"/>
      <c r="G9" s="71"/>
      <c r="H9" s="68">
        <f>G9+M9</f>
        <v>0</v>
      </c>
      <c r="I9" s="77">
        <f t="shared" si="1"/>
        <v>0</v>
      </c>
      <c r="J9" s="77">
        <f t="shared" si="5"/>
        <v>0</v>
      </c>
      <c r="K9" s="71"/>
      <c r="L9" s="77">
        <f t="shared" si="4"/>
        <v>0</v>
      </c>
      <c r="M9" s="71"/>
      <c r="N9" s="71"/>
      <c r="O9" s="77">
        <f t="shared" si="2"/>
        <v>0</v>
      </c>
      <c r="P9" s="71"/>
      <c r="Q9" s="71"/>
      <c r="R9" s="71"/>
    </row>
    <row r="10" spans="1:18" ht="30.75" customHeight="1">
      <c r="A10" s="11" t="s">
        <v>48</v>
      </c>
      <c r="B10" s="19">
        <v>1030200001</v>
      </c>
      <c r="C10" s="72">
        <f aca="true" t="shared" si="6" ref="C10:H10">SUM(C11:C14)</f>
        <v>715.4000000000001</v>
      </c>
      <c r="D10" s="72">
        <f t="shared" si="6"/>
        <v>0</v>
      </c>
      <c r="E10" s="72">
        <f t="shared" si="6"/>
        <v>715.4000000000001</v>
      </c>
      <c r="F10" s="72">
        <f t="shared" si="6"/>
        <v>0</v>
      </c>
      <c r="G10" s="72">
        <f>SUM(G11:G14)</f>
        <v>248.60000000000002</v>
      </c>
      <c r="H10" s="72">
        <f t="shared" si="6"/>
        <v>291.70000000000005</v>
      </c>
      <c r="I10" s="66">
        <f t="shared" si="1"/>
        <v>0.40774391948560246</v>
      </c>
      <c r="J10" s="66">
        <f>IF(F10&gt;0,H10/F10,0)</f>
        <v>0</v>
      </c>
      <c r="K10" s="72">
        <f>SUM(K11:K14)</f>
        <v>328</v>
      </c>
      <c r="L10" s="66">
        <f t="shared" si="4"/>
        <v>0.8893292682926831</v>
      </c>
      <c r="M10" s="72">
        <f>SUM(M11:M14)</f>
        <v>43.1</v>
      </c>
      <c r="N10" s="72">
        <f>SUM(N11:N14)</f>
        <v>50.9</v>
      </c>
      <c r="O10" s="66">
        <f t="shared" si="2"/>
        <v>0.8467583497053046</v>
      </c>
      <c r="P10" s="72">
        <f>SUM(P11:P14)</f>
        <v>0</v>
      </c>
      <c r="Q10" s="72">
        <f>SUM(Q11:Q14)</f>
        <v>0</v>
      </c>
      <c r="R10" s="72">
        <f>SUM(R11:R14)</f>
        <v>0</v>
      </c>
    </row>
    <row r="11" spans="1:18" ht="18.75" customHeight="1">
      <c r="A11" s="12" t="s">
        <v>49</v>
      </c>
      <c r="B11" s="12">
        <v>1030223101</v>
      </c>
      <c r="C11" s="71">
        <v>327.8</v>
      </c>
      <c r="D11" s="71"/>
      <c r="E11" s="67">
        <f>C11+D11</f>
        <v>327.8</v>
      </c>
      <c r="F11" s="67"/>
      <c r="G11" s="71">
        <v>116.9</v>
      </c>
      <c r="H11" s="69">
        <f>G11+M11</f>
        <v>138.20000000000002</v>
      </c>
      <c r="I11" s="70">
        <f t="shared" si="1"/>
        <v>0.42159853569249545</v>
      </c>
      <c r="J11" s="70">
        <f>IF(F11&gt;0,H11/F11,0)</f>
        <v>0</v>
      </c>
      <c r="K11" s="71">
        <v>148.9</v>
      </c>
      <c r="L11" s="70">
        <f t="shared" si="4"/>
        <v>0.9281396910678308</v>
      </c>
      <c r="M11" s="71">
        <v>21.3</v>
      </c>
      <c r="N11" s="71">
        <v>23.7</v>
      </c>
      <c r="O11" s="70">
        <f t="shared" si="2"/>
        <v>0.8987341772151899</v>
      </c>
      <c r="P11" s="71"/>
      <c r="Q11" s="71"/>
      <c r="R11" s="71"/>
    </row>
    <row r="12" spans="1:18" ht="18.75" customHeight="1">
      <c r="A12" s="12" t="s">
        <v>50</v>
      </c>
      <c r="B12" s="12">
        <v>1030224101</v>
      </c>
      <c r="C12" s="71">
        <v>1.7</v>
      </c>
      <c r="D12" s="71"/>
      <c r="E12" s="67">
        <f>C12+D12</f>
        <v>1.7</v>
      </c>
      <c r="F12" s="67"/>
      <c r="G12" s="71">
        <v>0.8</v>
      </c>
      <c r="H12" s="69">
        <f>G12+M12</f>
        <v>0.9</v>
      </c>
      <c r="I12" s="70">
        <f t="shared" si="1"/>
        <v>0.5294117647058824</v>
      </c>
      <c r="J12" s="70">
        <f>IF(F12&gt;0,H12/F12,0)</f>
        <v>0</v>
      </c>
      <c r="K12" s="71">
        <v>1.1</v>
      </c>
      <c r="L12" s="70">
        <f t="shared" si="4"/>
        <v>0.8181818181818181</v>
      </c>
      <c r="M12" s="71">
        <v>0.1</v>
      </c>
      <c r="N12" s="71">
        <v>0.2</v>
      </c>
      <c r="O12" s="70">
        <f t="shared" si="2"/>
        <v>0.5</v>
      </c>
      <c r="P12" s="71"/>
      <c r="Q12" s="71"/>
      <c r="R12" s="71"/>
    </row>
    <row r="13" spans="1:18" ht="18" customHeight="1">
      <c r="A13" s="12" t="s">
        <v>51</v>
      </c>
      <c r="B13" s="12">
        <v>1030225101</v>
      </c>
      <c r="C13" s="71">
        <v>428.2</v>
      </c>
      <c r="D13" s="71"/>
      <c r="E13" s="67">
        <f>C13+D13</f>
        <v>428.2</v>
      </c>
      <c r="F13" s="67"/>
      <c r="G13" s="71">
        <v>155.4</v>
      </c>
      <c r="H13" s="69">
        <f>G13+M13</f>
        <v>180.1</v>
      </c>
      <c r="I13" s="70">
        <f t="shared" si="1"/>
        <v>0.4205978514712751</v>
      </c>
      <c r="J13" s="70">
        <f>IF(F13&gt;0,H13/F13,0)</f>
        <v>0</v>
      </c>
      <c r="K13" s="71">
        <v>206.3</v>
      </c>
      <c r="L13" s="70">
        <f t="shared" si="4"/>
        <v>0.8730004847309742</v>
      </c>
      <c r="M13" s="71">
        <v>24.7</v>
      </c>
      <c r="N13" s="71">
        <v>32.6</v>
      </c>
      <c r="O13" s="70">
        <f t="shared" si="2"/>
        <v>0.7576687116564417</v>
      </c>
      <c r="P13" s="71"/>
      <c r="Q13" s="71"/>
      <c r="R13" s="71"/>
    </row>
    <row r="14" spans="1:18" ht="18" customHeight="1">
      <c r="A14" s="12" t="s">
        <v>52</v>
      </c>
      <c r="B14" s="12">
        <v>1030226101</v>
      </c>
      <c r="C14" s="71">
        <v>-42.3</v>
      </c>
      <c r="D14" s="71"/>
      <c r="E14" s="67">
        <f>C14+D14</f>
        <v>-42.3</v>
      </c>
      <c r="F14" s="67"/>
      <c r="G14" s="71">
        <v>-24.5</v>
      </c>
      <c r="H14" s="69">
        <f>G14+M14</f>
        <v>-27.5</v>
      </c>
      <c r="I14" s="70">
        <f>H14/E14</f>
        <v>0.6501182033096927</v>
      </c>
      <c r="J14" s="70">
        <f>IF(F14&gt;0,H14/F14,0)</f>
        <v>0</v>
      </c>
      <c r="K14" s="71">
        <v>-28.3</v>
      </c>
      <c r="L14" s="70">
        <f t="shared" si="4"/>
        <v>0</v>
      </c>
      <c r="M14" s="71">
        <v>-3</v>
      </c>
      <c r="N14" s="71">
        <v>-5.6</v>
      </c>
      <c r="O14" s="70">
        <f t="shared" si="2"/>
        <v>0</v>
      </c>
      <c r="P14" s="71"/>
      <c r="Q14" s="71"/>
      <c r="R14" s="71"/>
    </row>
    <row r="15" spans="1:18" ht="18">
      <c r="A15" s="9" t="s">
        <v>70</v>
      </c>
      <c r="B15" s="30">
        <v>1050000000</v>
      </c>
      <c r="C15" s="72">
        <f aca="true" t="shared" si="7" ref="C15:H15">C16</f>
        <v>2</v>
      </c>
      <c r="D15" s="73">
        <f t="shared" si="7"/>
        <v>0</v>
      </c>
      <c r="E15" s="73">
        <f t="shared" si="7"/>
        <v>2</v>
      </c>
      <c r="F15" s="73">
        <f t="shared" si="7"/>
        <v>0</v>
      </c>
      <c r="G15" s="72">
        <f>G16</f>
        <v>0</v>
      </c>
      <c r="H15" s="73">
        <f t="shared" si="7"/>
        <v>-0.1</v>
      </c>
      <c r="I15" s="87">
        <f t="shared" si="1"/>
        <v>-0.05</v>
      </c>
      <c r="J15" s="87">
        <f t="shared" si="5"/>
        <v>0</v>
      </c>
      <c r="K15" s="72">
        <f>K16</f>
        <v>1.1</v>
      </c>
      <c r="L15" s="87">
        <f t="shared" si="4"/>
        <v>-0.09090909090909091</v>
      </c>
      <c r="M15" s="72">
        <f>M16</f>
        <v>-0.1</v>
      </c>
      <c r="N15" s="72">
        <f>N16</f>
        <v>0</v>
      </c>
      <c r="O15" s="87">
        <f t="shared" si="2"/>
        <v>0</v>
      </c>
      <c r="P15" s="72">
        <f>P16</f>
        <v>0</v>
      </c>
      <c r="Q15" s="72">
        <f>Q16</f>
        <v>1.8</v>
      </c>
      <c r="R15" s="72">
        <f>R16</f>
        <v>1.8</v>
      </c>
    </row>
    <row r="16" spans="1:18" ht="18">
      <c r="A16" s="13" t="s">
        <v>7</v>
      </c>
      <c r="B16" s="13">
        <v>1050300001</v>
      </c>
      <c r="C16" s="71">
        <v>2</v>
      </c>
      <c r="D16" s="68"/>
      <c r="E16" s="71">
        <f>C16+D16</f>
        <v>2</v>
      </c>
      <c r="F16" s="71"/>
      <c r="G16" s="71"/>
      <c r="H16" s="68">
        <f>G16+M16</f>
        <v>-0.1</v>
      </c>
      <c r="I16" s="77">
        <f t="shared" si="1"/>
        <v>-0.05</v>
      </c>
      <c r="J16" s="77">
        <f t="shared" si="5"/>
        <v>0</v>
      </c>
      <c r="K16" s="71">
        <v>1.1</v>
      </c>
      <c r="L16" s="77">
        <f t="shared" si="4"/>
        <v>-0.09090909090909091</v>
      </c>
      <c r="M16" s="71">
        <v>-0.1</v>
      </c>
      <c r="N16" s="71"/>
      <c r="O16" s="77">
        <f t="shared" si="2"/>
        <v>0</v>
      </c>
      <c r="P16" s="71"/>
      <c r="Q16" s="71">
        <v>1.8</v>
      </c>
      <c r="R16" s="71">
        <v>1.8</v>
      </c>
    </row>
    <row r="17" spans="1:18" ht="18">
      <c r="A17" s="9" t="s">
        <v>71</v>
      </c>
      <c r="B17" s="30">
        <v>1060000000</v>
      </c>
      <c r="C17" s="72">
        <f aca="true" t="shared" si="8" ref="C17:H17">C18+C21</f>
        <v>60</v>
      </c>
      <c r="D17" s="73">
        <f t="shared" si="8"/>
        <v>0</v>
      </c>
      <c r="E17" s="73">
        <f t="shared" si="8"/>
        <v>60</v>
      </c>
      <c r="F17" s="73">
        <f t="shared" si="8"/>
        <v>0</v>
      </c>
      <c r="G17" s="72">
        <f>G18+G21</f>
        <v>12.4</v>
      </c>
      <c r="H17" s="73">
        <f t="shared" si="8"/>
        <v>13.7</v>
      </c>
      <c r="I17" s="87">
        <f t="shared" si="1"/>
        <v>0.22833333333333333</v>
      </c>
      <c r="J17" s="87">
        <f t="shared" si="5"/>
        <v>0</v>
      </c>
      <c r="K17" s="72">
        <f>K18+K21</f>
        <v>27</v>
      </c>
      <c r="L17" s="87">
        <f t="shared" si="4"/>
        <v>0.5074074074074074</v>
      </c>
      <c r="M17" s="72">
        <f>M18+M21</f>
        <v>1.2999999999999998</v>
      </c>
      <c r="N17" s="72">
        <f>N18+N21</f>
        <v>13.3</v>
      </c>
      <c r="O17" s="87">
        <f t="shared" si="2"/>
        <v>0.09774436090225562</v>
      </c>
      <c r="P17" s="72">
        <f>P18+P21</f>
        <v>39.4</v>
      </c>
      <c r="Q17" s="72">
        <f>Q18+Q21</f>
        <v>29.5</v>
      </c>
      <c r="R17" s="72">
        <f>R18+R21</f>
        <v>29.5</v>
      </c>
    </row>
    <row r="18" spans="1:18" ht="18">
      <c r="A18" s="13" t="s">
        <v>13</v>
      </c>
      <c r="B18" s="13">
        <v>1060600000</v>
      </c>
      <c r="C18" s="71">
        <f aca="true" t="shared" si="9" ref="C18:H18">C19+C20</f>
        <v>45</v>
      </c>
      <c r="D18" s="68">
        <f t="shared" si="9"/>
        <v>0</v>
      </c>
      <c r="E18" s="68">
        <f t="shared" si="9"/>
        <v>45</v>
      </c>
      <c r="F18" s="68">
        <f t="shared" si="9"/>
        <v>0</v>
      </c>
      <c r="G18" s="71">
        <f>G19+G20</f>
        <v>11.5</v>
      </c>
      <c r="H18" s="68">
        <f t="shared" si="9"/>
        <v>12.1</v>
      </c>
      <c r="I18" s="77">
        <f t="shared" si="1"/>
        <v>0.2688888888888889</v>
      </c>
      <c r="J18" s="77">
        <f t="shared" si="5"/>
        <v>0</v>
      </c>
      <c r="K18" s="71">
        <f>K19+K20</f>
        <v>26.9</v>
      </c>
      <c r="L18" s="77">
        <f t="shared" si="4"/>
        <v>0.44981412639405205</v>
      </c>
      <c r="M18" s="71">
        <f>M19+M20</f>
        <v>0.6</v>
      </c>
      <c r="N18" s="71">
        <f>N19+N20</f>
        <v>13.3</v>
      </c>
      <c r="O18" s="77">
        <f t="shared" si="2"/>
        <v>0.045112781954887216</v>
      </c>
      <c r="P18" s="71">
        <f>P19+P20</f>
        <v>26.7</v>
      </c>
      <c r="Q18" s="71">
        <f>Q19+Q20</f>
        <v>17.2</v>
      </c>
      <c r="R18" s="71">
        <f>R19+R20</f>
        <v>17.7</v>
      </c>
    </row>
    <row r="19" spans="1:18" ht="18">
      <c r="A19" s="13" t="s">
        <v>100</v>
      </c>
      <c r="B19" s="13">
        <v>1060603310</v>
      </c>
      <c r="C19" s="71">
        <v>11</v>
      </c>
      <c r="D19" s="68"/>
      <c r="E19" s="71">
        <f>C19+D19</f>
        <v>11</v>
      </c>
      <c r="F19" s="71"/>
      <c r="G19" s="71">
        <v>8</v>
      </c>
      <c r="H19" s="68">
        <f>G19+M19</f>
        <v>8</v>
      </c>
      <c r="I19" s="77">
        <f t="shared" si="1"/>
        <v>0.7272727272727273</v>
      </c>
      <c r="J19" s="77">
        <f t="shared" si="5"/>
        <v>0</v>
      </c>
      <c r="K19" s="71">
        <v>11.1</v>
      </c>
      <c r="L19" s="77">
        <f t="shared" si="4"/>
        <v>0.7207207207207208</v>
      </c>
      <c r="M19" s="71"/>
      <c r="N19" s="71">
        <v>1.4</v>
      </c>
      <c r="O19" s="77">
        <f t="shared" si="2"/>
        <v>0</v>
      </c>
      <c r="P19" s="71"/>
      <c r="Q19" s="71"/>
      <c r="R19" s="71"/>
    </row>
    <row r="20" spans="1:18" ht="18">
      <c r="A20" s="13" t="s">
        <v>101</v>
      </c>
      <c r="B20" s="13">
        <v>1060604310</v>
      </c>
      <c r="C20" s="71">
        <v>34</v>
      </c>
      <c r="D20" s="68"/>
      <c r="E20" s="71">
        <f>C20+D20</f>
        <v>34</v>
      </c>
      <c r="F20" s="71"/>
      <c r="G20" s="71">
        <v>3.5</v>
      </c>
      <c r="H20" s="68">
        <f>G20+M20</f>
        <v>4.1</v>
      </c>
      <c r="I20" s="77">
        <f t="shared" si="1"/>
        <v>0.12058823529411763</v>
      </c>
      <c r="J20" s="77">
        <f t="shared" si="5"/>
        <v>0</v>
      </c>
      <c r="K20" s="71">
        <v>15.8</v>
      </c>
      <c r="L20" s="77">
        <f t="shared" si="4"/>
        <v>0.2594936708860759</v>
      </c>
      <c r="M20" s="71">
        <v>0.6</v>
      </c>
      <c r="N20" s="71">
        <v>11.9</v>
      </c>
      <c r="O20" s="77">
        <f t="shared" si="2"/>
        <v>0.050420168067226885</v>
      </c>
      <c r="P20" s="71">
        <v>26.7</v>
      </c>
      <c r="Q20" s="71">
        <v>17.2</v>
      </c>
      <c r="R20" s="71">
        <v>17.7</v>
      </c>
    </row>
    <row r="21" spans="1:20" ht="18">
      <c r="A21" s="13" t="s">
        <v>12</v>
      </c>
      <c r="B21" s="13">
        <v>1060103010</v>
      </c>
      <c r="C21" s="71">
        <v>15</v>
      </c>
      <c r="D21" s="68"/>
      <c r="E21" s="71">
        <f>C21+D21</f>
        <v>15</v>
      </c>
      <c r="F21" s="71"/>
      <c r="G21" s="71">
        <v>0.9</v>
      </c>
      <c r="H21" s="68">
        <f>G21+M21</f>
        <v>1.6</v>
      </c>
      <c r="I21" s="77">
        <f t="shared" si="1"/>
        <v>0.10666666666666667</v>
      </c>
      <c r="J21" s="77">
        <f t="shared" si="5"/>
        <v>0</v>
      </c>
      <c r="K21" s="71">
        <v>0.1</v>
      </c>
      <c r="L21" s="77">
        <f t="shared" si="4"/>
        <v>16</v>
      </c>
      <c r="M21" s="71">
        <v>0.7</v>
      </c>
      <c r="N21" s="71"/>
      <c r="O21" s="77">
        <f t="shared" si="2"/>
        <v>0</v>
      </c>
      <c r="P21" s="71">
        <v>12.7</v>
      </c>
      <c r="Q21" s="71">
        <v>12.3</v>
      </c>
      <c r="R21" s="71">
        <v>11.8</v>
      </c>
      <c r="S21" s="130"/>
      <c r="T21" s="158"/>
    </row>
    <row r="22" spans="1:18" ht="18">
      <c r="A22" s="9" t="s">
        <v>72</v>
      </c>
      <c r="B22" s="30">
        <v>1080402001</v>
      </c>
      <c r="C22" s="72">
        <v>2</v>
      </c>
      <c r="D22" s="73"/>
      <c r="E22" s="72">
        <f>C22+D22</f>
        <v>2</v>
      </c>
      <c r="F22" s="72"/>
      <c r="G22" s="72">
        <v>5.2</v>
      </c>
      <c r="H22" s="73">
        <f>G22+M22</f>
        <v>6.4</v>
      </c>
      <c r="I22" s="87">
        <f t="shared" si="1"/>
        <v>3.2</v>
      </c>
      <c r="J22" s="87">
        <f t="shared" si="5"/>
        <v>0</v>
      </c>
      <c r="K22" s="72">
        <v>0.4</v>
      </c>
      <c r="L22" s="87">
        <f t="shared" si="4"/>
        <v>16</v>
      </c>
      <c r="M22" s="72">
        <v>1.2</v>
      </c>
      <c r="N22" s="72"/>
      <c r="O22" s="87">
        <f t="shared" si="2"/>
        <v>0</v>
      </c>
      <c r="P22" s="72"/>
      <c r="Q22" s="72"/>
      <c r="R22" s="72"/>
    </row>
    <row r="23" spans="1:18" ht="18" hidden="1">
      <c r="A23" s="9" t="s">
        <v>73</v>
      </c>
      <c r="B23" s="30">
        <v>1090405010</v>
      </c>
      <c r="C23" s="72"/>
      <c r="D23" s="72"/>
      <c r="E23" s="72">
        <f>C23+D23</f>
        <v>0</v>
      </c>
      <c r="F23" s="72"/>
      <c r="G23" s="72"/>
      <c r="H23" s="73">
        <f>G23+M23</f>
        <v>0</v>
      </c>
      <c r="I23" s="87">
        <f t="shared" si="1"/>
        <v>0</v>
      </c>
      <c r="J23" s="87">
        <f t="shared" si="5"/>
        <v>0</v>
      </c>
      <c r="K23" s="72"/>
      <c r="L23" s="87">
        <f t="shared" si="4"/>
        <v>0</v>
      </c>
      <c r="M23" s="72"/>
      <c r="N23" s="72"/>
      <c r="O23" s="87">
        <f t="shared" si="2"/>
        <v>0</v>
      </c>
      <c r="P23" s="72"/>
      <c r="Q23" s="72"/>
      <c r="R23" s="72"/>
    </row>
    <row r="24" spans="1:18" ht="18">
      <c r="A24" s="32" t="s">
        <v>22</v>
      </c>
      <c r="B24" s="32"/>
      <c r="C24" s="76">
        <f aca="true" t="shared" si="10" ref="C24:H24">C25+C28+C32+C31+C30+C29</f>
        <v>298</v>
      </c>
      <c r="D24" s="76">
        <f t="shared" si="10"/>
        <v>681.923</v>
      </c>
      <c r="E24" s="76">
        <f t="shared" si="10"/>
        <v>979.923</v>
      </c>
      <c r="F24" s="76">
        <f t="shared" si="10"/>
        <v>0</v>
      </c>
      <c r="G24" s="76">
        <f>G25+G28+G32+G31+G30+G29</f>
        <v>147.39999999999998</v>
      </c>
      <c r="H24" s="76">
        <f t="shared" si="10"/>
        <v>198.3</v>
      </c>
      <c r="I24" s="90">
        <f t="shared" si="1"/>
        <v>0.20236283871283764</v>
      </c>
      <c r="J24" s="90">
        <f t="shared" si="5"/>
        <v>0</v>
      </c>
      <c r="K24" s="76">
        <f>K25+K28+K32+K31+K30+K29</f>
        <v>173.39999999999998</v>
      </c>
      <c r="L24" s="90">
        <f t="shared" si="4"/>
        <v>1.1435986159169553</v>
      </c>
      <c r="M24" s="76">
        <f>M25+M28+M32+M31+M30+M29</f>
        <v>50.900000000000006</v>
      </c>
      <c r="N24" s="76">
        <f>N25+N28+N32+N31+N30+N29</f>
        <v>51.6</v>
      </c>
      <c r="O24" s="90">
        <f t="shared" si="2"/>
        <v>0.9864341085271319</v>
      </c>
      <c r="P24" s="76">
        <f>P25+P28+P32+P31+P30</f>
        <v>0</v>
      </c>
      <c r="Q24" s="76">
        <f>Q25+Q28+Q32+Q31+Q30</f>
        <v>0</v>
      </c>
      <c r="R24" s="76">
        <f>R25+R28+R32+R31+R30</f>
        <v>0</v>
      </c>
    </row>
    <row r="25" spans="1:18" ht="17.25" customHeight="1">
      <c r="A25" s="9" t="s">
        <v>74</v>
      </c>
      <c r="B25" s="30">
        <v>1110000000</v>
      </c>
      <c r="C25" s="72">
        <f aca="true" t="shared" si="11" ref="C25:H25">C26+C27</f>
        <v>98</v>
      </c>
      <c r="D25" s="72">
        <f t="shared" si="11"/>
        <v>0</v>
      </c>
      <c r="E25" s="72">
        <f t="shared" si="11"/>
        <v>98</v>
      </c>
      <c r="F25" s="72">
        <f t="shared" si="11"/>
        <v>0</v>
      </c>
      <c r="G25" s="72">
        <f>G26+G27</f>
        <v>22.6</v>
      </c>
      <c r="H25" s="72">
        <f t="shared" si="11"/>
        <v>31.1</v>
      </c>
      <c r="I25" s="87">
        <f t="shared" si="1"/>
        <v>0.31734693877551023</v>
      </c>
      <c r="J25" s="87">
        <f t="shared" si="5"/>
        <v>0</v>
      </c>
      <c r="K25" s="72">
        <f>K26+K27</f>
        <v>30.6</v>
      </c>
      <c r="L25" s="87">
        <f t="shared" si="4"/>
        <v>1.0163398692810457</v>
      </c>
      <c r="M25" s="72">
        <f>M26+M27</f>
        <v>8.5</v>
      </c>
      <c r="N25" s="72">
        <f>N26+N27</f>
        <v>3.6</v>
      </c>
      <c r="O25" s="87">
        <f t="shared" si="2"/>
        <v>2.361111111111111</v>
      </c>
      <c r="P25" s="72">
        <f>P26+P27</f>
        <v>0</v>
      </c>
      <c r="Q25" s="72">
        <f>Q26+Q27</f>
        <v>0</v>
      </c>
      <c r="R25" s="72">
        <f>R26+R27</f>
        <v>0</v>
      </c>
    </row>
    <row r="26" spans="1:18" ht="18.75" customHeight="1" hidden="1">
      <c r="A26" s="13" t="s">
        <v>18</v>
      </c>
      <c r="B26" s="13">
        <v>1110903510</v>
      </c>
      <c r="C26" s="71"/>
      <c r="D26" s="68"/>
      <c r="E26" s="71">
        <f aca="true" t="shared" si="12" ref="E26:E31">C26+D26</f>
        <v>0</v>
      </c>
      <c r="F26" s="71"/>
      <c r="G26" s="71"/>
      <c r="H26" s="68">
        <f aca="true" t="shared" si="13" ref="H26:H31">G26+M26</f>
        <v>0</v>
      </c>
      <c r="I26" s="77">
        <f t="shared" si="1"/>
        <v>0</v>
      </c>
      <c r="J26" s="77">
        <f t="shared" si="5"/>
        <v>0</v>
      </c>
      <c r="K26" s="71"/>
      <c r="L26" s="77">
        <f t="shared" si="4"/>
        <v>0</v>
      </c>
      <c r="M26" s="71"/>
      <c r="N26" s="71"/>
      <c r="O26" s="77">
        <f t="shared" si="2"/>
        <v>0</v>
      </c>
      <c r="P26" s="71"/>
      <c r="Q26" s="71"/>
      <c r="R26" s="71"/>
    </row>
    <row r="27" spans="1:18" ht="18">
      <c r="A27" s="33" t="s">
        <v>23</v>
      </c>
      <c r="B27" s="13">
        <v>1110904510</v>
      </c>
      <c r="C27" s="71">
        <v>98</v>
      </c>
      <c r="D27" s="68"/>
      <c r="E27" s="71">
        <f t="shared" si="12"/>
        <v>98</v>
      </c>
      <c r="F27" s="71"/>
      <c r="G27" s="71">
        <v>22.6</v>
      </c>
      <c r="H27" s="68">
        <f t="shared" si="13"/>
        <v>31.1</v>
      </c>
      <c r="I27" s="77">
        <f t="shared" si="1"/>
        <v>0.31734693877551023</v>
      </c>
      <c r="J27" s="77">
        <f t="shared" si="5"/>
        <v>0</v>
      </c>
      <c r="K27" s="71">
        <v>30.6</v>
      </c>
      <c r="L27" s="77">
        <f t="shared" si="4"/>
        <v>1.0163398692810457</v>
      </c>
      <c r="M27" s="71">
        <v>8.5</v>
      </c>
      <c r="N27" s="71">
        <v>3.6</v>
      </c>
      <c r="O27" s="77">
        <f t="shared" si="2"/>
        <v>2.361111111111111</v>
      </c>
      <c r="P27" s="71"/>
      <c r="Q27" s="71"/>
      <c r="R27" s="71"/>
    </row>
    <row r="28" spans="1:18" ht="18">
      <c r="A28" s="9" t="s">
        <v>38</v>
      </c>
      <c r="B28" s="30">
        <v>1130299510</v>
      </c>
      <c r="C28" s="72">
        <v>200</v>
      </c>
      <c r="D28" s="72">
        <f>328.923+353</f>
        <v>681.923</v>
      </c>
      <c r="E28" s="126">
        <f t="shared" si="12"/>
        <v>881.923</v>
      </c>
      <c r="F28" s="72"/>
      <c r="G28" s="72">
        <v>124.6</v>
      </c>
      <c r="H28" s="73">
        <f t="shared" si="13"/>
        <v>166.8</v>
      </c>
      <c r="I28" s="87">
        <f t="shared" si="1"/>
        <v>0.18913215779608877</v>
      </c>
      <c r="J28" s="87">
        <f t="shared" si="5"/>
        <v>0</v>
      </c>
      <c r="K28" s="72">
        <v>142.6</v>
      </c>
      <c r="L28" s="87">
        <f t="shared" si="4"/>
        <v>1.1697054698457223</v>
      </c>
      <c r="M28" s="72">
        <v>42.2</v>
      </c>
      <c r="N28" s="72">
        <v>48</v>
      </c>
      <c r="O28" s="87">
        <f t="shared" si="2"/>
        <v>0.8791666666666668</v>
      </c>
      <c r="P28" s="72"/>
      <c r="Q28" s="72"/>
      <c r="R28" s="72"/>
    </row>
    <row r="29" spans="1:18" ht="18">
      <c r="A29" s="9" t="s">
        <v>75</v>
      </c>
      <c r="B29" s="30">
        <v>1140205310</v>
      </c>
      <c r="C29" s="72"/>
      <c r="D29" s="72"/>
      <c r="E29" s="72">
        <f t="shared" si="12"/>
        <v>0</v>
      </c>
      <c r="F29" s="72"/>
      <c r="G29" s="72"/>
      <c r="H29" s="73">
        <f t="shared" si="13"/>
        <v>0</v>
      </c>
      <c r="I29" s="87">
        <f>IF(E29&gt;0,H29/E29,0)</f>
        <v>0</v>
      </c>
      <c r="J29" s="87">
        <f>IF(F29&gt;0,H29/F29,0)</f>
        <v>0</v>
      </c>
      <c r="K29" s="72"/>
      <c r="L29" s="87">
        <f t="shared" si="4"/>
        <v>0</v>
      </c>
      <c r="M29" s="72"/>
      <c r="N29" s="72"/>
      <c r="O29" s="87">
        <f t="shared" si="2"/>
        <v>0</v>
      </c>
      <c r="P29" s="72"/>
      <c r="Q29" s="72"/>
      <c r="R29" s="72"/>
    </row>
    <row r="30" spans="1:18" ht="18">
      <c r="A30" s="9" t="s">
        <v>76</v>
      </c>
      <c r="B30" s="30">
        <v>1140601410</v>
      </c>
      <c r="C30" s="72"/>
      <c r="D30" s="72"/>
      <c r="E30" s="72">
        <f t="shared" si="12"/>
        <v>0</v>
      </c>
      <c r="F30" s="72"/>
      <c r="G30" s="72"/>
      <c r="H30" s="73">
        <f t="shared" si="13"/>
        <v>0</v>
      </c>
      <c r="I30" s="87">
        <f>IF(E30&gt;0,H30/E30,0)</f>
        <v>0</v>
      </c>
      <c r="J30" s="87">
        <f>IF(F30&gt;0,H30/F30,0)</f>
        <v>0</v>
      </c>
      <c r="K30" s="72"/>
      <c r="L30" s="87">
        <f t="shared" si="4"/>
        <v>0</v>
      </c>
      <c r="M30" s="72"/>
      <c r="N30" s="72"/>
      <c r="O30" s="87">
        <f t="shared" si="2"/>
        <v>0</v>
      </c>
      <c r="P30" s="72"/>
      <c r="Q30" s="72"/>
      <c r="R30" s="72"/>
    </row>
    <row r="31" spans="1:18" ht="18">
      <c r="A31" s="9" t="s">
        <v>79</v>
      </c>
      <c r="B31" s="30">
        <v>1169005010</v>
      </c>
      <c r="C31" s="72"/>
      <c r="D31" s="72"/>
      <c r="E31" s="72">
        <f t="shared" si="12"/>
        <v>0</v>
      </c>
      <c r="F31" s="72"/>
      <c r="G31" s="72"/>
      <c r="H31" s="73">
        <f t="shared" si="13"/>
        <v>0</v>
      </c>
      <c r="I31" s="87">
        <f>IF(E31&gt;0,H31/E31,0)</f>
        <v>0</v>
      </c>
      <c r="J31" s="87">
        <f>IF(F31&gt;0,H31/F31,0)</f>
        <v>0</v>
      </c>
      <c r="K31" s="72"/>
      <c r="L31" s="87">
        <f t="shared" si="4"/>
        <v>0</v>
      </c>
      <c r="M31" s="72"/>
      <c r="N31" s="72"/>
      <c r="O31" s="87">
        <f t="shared" si="2"/>
        <v>0</v>
      </c>
      <c r="P31" s="72"/>
      <c r="Q31" s="72"/>
      <c r="R31" s="72"/>
    </row>
    <row r="32" spans="1:18" ht="18">
      <c r="A32" s="9" t="s">
        <v>69</v>
      </c>
      <c r="B32" s="30">
        <v>1170000000</v>
      </c>
      <c r="C32" s="72">
        <f>SUM(C33:C34)</f>
        <v>0</v>
      </c>
      <c r="D32" s="72">
        <f aca="true" t="shared" si="14" ref="D32:R32">SUM(D33:D34)</f>
        <v>0</v>
      </c>
      <c r="E32" s="72">
        <f t="shared" si="14"/>
        <v>0</v>
      </c>
      <c r="F32" s="72">
        <f t="shared" si="14"/>
        <v>0</v>
      </c>
      <c r="G32" s="72">
        <f>SUM(G33:G34)</f>
        <v>0.2</v>
      </c>
      <c r="H32" s="72">
        <f t="shared" si="14"/>
        <v>0.4</v>
      </c>
      <c r="I32" s="87">
        <f>IF(E32&gt;0,H32/E32,0)</f>
        <v>0</v>
      </c>
      <c r="J32" s="87">
        <f>IF(F32&gt;0,H32/F32,0)</f>
        <v>0</v>
      </c>
      <c r="K32" s="72">
        <f>SUM(K33:K34)</f>
        <v>0.2</v>
      </c>
      <c r="L32" s="87">
        <f t="shared" si="4"/>
        <v>2</v>
      </c>
      <c r="M32" s="72">
        <f t="shared" si="14"/>
        <v>0.2</v>
      </c>
      <c r="N32" s="72">
        <f t="shared" si="14"/>
        <v>0</v>
      </c>
      <c r="O32" s="87">
        <f t="shared" si="2"/>
        <v>0</v>
      </c>
      <c r="P32" s="72">
        <f t="shared" si="14"/>
        <v>0</v>
      </c>
      <c r="Q32" s="72">
        <f>SUM(Q33:Q34)</f>
        <v>0</v>
      </c>
      <c r="R32" s="72">
        <f t="shared" si="14"/>
        <v>0</v>
      </c>
    </row>
    <row r="33" spans="1:18" ht="18">
      <c r="A33" s="13" t="s">
        <v>8</v>
      </c>
      <c r="B33" s="13">
        <v>1170103003</v>
      </c>
      <c r="C33" s="71"/>
      <c r="D33" s="71"/>
      <c r="E33" s="71">
        <f>C33+D33</f>
        <v>0</v>
      </c>
      <c r="F33" s="71"/>
      <c r="G33" s="71"/>
      <c r="H33" s="68">
        <f>G33+M33</f>
        <v>0</v>
      </c>
      <c r="I33" s="77">
        <f t="shared" si="1"/>
        <v>0</v>
      </c>
      <c r="J33" s="77">
        <f t="shared" si="5"/>
        <v>0</v>
      </c>
      <c r="K33" s="71"/>
      <c r="L33" s="77">
        <f t="shared" si="4"/>
        <v>0</v>
      </c>
      <c r="M33" s="71"/>
      <c r="N33" s="71"/>
      <c r="O33" s="77">
        <f aca="true" t="shared" si="15" ref="O33:O39">IF(N33&gt;0,M33/N33,0)</f>
        <v>0</v>
      </c>
      <c r="P33" s="77"/>
      <c r="Q33" s="77"/>
      <c r="R33" s="77"/>
    </row>
    <row r="34" spans="1:18" ht="18">
      <c r="A34" s="13" t="s">
        <v>33</v>
      </c>
      <c r="B34" s="13">
        <v>1170505010</v>
      </c>
      <c r="C34" s="71"/>
      <c r="D34" s="82"/>
      <c r="E34" s="71">
        <f>C34+D34</f>
        <v>0</v>
      </c>
      <c r="F34" s="71"/>
      <c r="G34" s="71">
        <v>0.2</v>
      </c>
      <c r="H34" s="68">
        <f>G34+M34</f>
        <v>0.4</v>
      </c>
      <c r="I34" s="77">
        <f>IF(E34&gt;0,H34/E34,0)</f>
        <v>0</v>
      </c>
      <c r="J34" s="77">
        <f>IF(F34&gt;0,H34/F34,0)</f>
        <v>0</v>
      </c>
      <c r="K34" s="71">
        <v>0.2</v>
      </c>
      <c r="L34" s="77">
        <f>IF(K34&gt;0,H34/K34,0)</f>
        <v>2</v>
      </c>
      <c r="M34" s="71">
        <v>0.2</v>
      </c>
      <c r="N34" s="71"/>
      <c r="O34" s="77">
        <f t="shared" si="15"/>
        <v>0</v>
      </c>
      <c r="P34" s="71"/>
      <c r="Q34" s="71"/>
      <c r="R34" s="71"/>
    </row>
    <row r="35" spans="1:19" ht="18">
      <c r="A35" s="9" t="s">
        <v>6</v>
      </c>
      <c r="B35" s="9">
        <v>1000000000</v>
      </c>
      <c r="C35" s="78">
        <f aca="true" t="shared" si="16" ref="C35:H35">C5+C24</f>
        <v>1303.3000000000002</v>
      </c>
      <c r="D35" s="78">
        <f t="shared" si="16"/>
        <v>681.923</v>
      </c>
      <c r="E35" s="78">
        <f t="shared" si="16"/>
        <v>1985.223</v>
      </c>
      <c r="F35" s="79">
        <f t="shared" si="16"/>
        <v>0</v>
      </c>
      <c r="G35" s="79">
        <f>G5+G24</f>
        <v>494.4</v>
      </c>
      <c r="H35" s="79">
        <f t="shared" si="16"/>
        <v>611.3000000000001</v>
      </c>
      <c r="I35" s="91">
        <f t="shared" si="1"/>
        <v>0.3079251046356002</v>
      </c>
      <c r="J35" s="91">
        <f t="shared" si="5"/>
        <v>0</v>
      </c>
      <c r="K35" s="79">
        <f>K5+K24</f>
        <v>654.1</v>
      </c>
      <c r="L35" s="91">
        <f t="shared" si="4"/>
        <v>0.934566580033634</v>
      </c>
      <c r="M35" s="79">
        <f>M5+M24</f>
        <v>116.9</v>
      </c>
      <c r="N35" s="79">
        <f>N5+N24</f>
        <v>134.6</v>
      </c>
      <c r="O35" s="91">
        <f t="shared" si="15"/>
        <v>0.8684992570579496</v>
      </c>
      <c r="P35" s="79">
        <f>P5+P24</f>
        <v>39.4</v>
      </c>
      <c r="Q35" s="79">
        <f>Q5+Q24</f>
        <v>31.3</v>
      </c>
      <c r="R35" s="79">
        <f>R5+R24</f>
        <v>31.3</v>
      </c>
      <c r="S35" s="176"/>
    </row>
    <row r="36" spans="1:18" ht="18">
      <c r="A36" s="9" t="s">
        <v>92</v>
      </c>
      <c r="B36" s="9"/>
      <c r="C36" s="79">
        <f aca="true" t="shared" si="17" ref="C36:H36">C35-C10</f>
        <v>587.9000000000001</v>
      </c>
      <c r="D36" s="88">
        <f t="shared" si="17"/>
        <v>681.923</v>
      </c>
      <c r="E36" s="79">
        <f t="shared" si="17"/>
        <v>1269.8229999999999</v>
      </c>
      <c r="F36" s="79">
        <f t="shared" si="17"/>
        <v>0</v>
      </c>
      <c r="G36" s="79">
        <f>G35-G10</f>
        <v>245.79999999999995</v>
      </c>
      <c r="H36" s="79">
        <f t="shared" si="17"/>
        <v>319.6</v>
      </c>
      <c r="I36" s="91">
        <f>IF(E36&gt;0,H36/E36,0)</f>
        <v>0.25168862117003715</v>
      </c>
      <c r="J36" s="91">
        <f>IF(F36&gt;0,H36/F36,0)</f>
        <v>0</v>
      </c>
      <c r="K36" s="79">
        <f>K35-K10</f>
        <v>326.1</v>
      </c>
      <c r="L36" s="91">
        <f t="shared" si="4"/>
        <v>0.980067463968108</v>
      </c>
      <c r="M36" s="79">
        <f>M35-M10</f>
        <v>73.80000000000001</v>
      </c>
      <c r="N36" s="79">
        <f>N35-N10</f>
        <v>83.69999999999999</v>
      </c>
      <c r="O36" s="91">
        <f t="shared" si="15"/>
        <v>0.8817204301075271</v>
      </c>
      <c r="P36" s="79"/>
      <c r="Q36" s="79"/>
      <c r="R36" s="79"/>
    </row>
    <row r="37" spans="1:19" ht="18">
      <c r="A37" s="13" t="s">
        <v>36</v>
      </c>
      <c r="B37" s="13">
        <v>2000000000</v>
      </c>
      <c r="C37" s="71">
        <v>3465.8</v>
      </c>
      <c r="D37" s="83">
        <f>-306.3</f>
        <v>-306.3</v>
      </c>
      <c r="E37" s="83">
        <f>C37+D37</f>
        <v>3159.5</v>
      </c>
      <c r="F37" s="71"/>
      <c r="G37" s="71">
        <v>1549.3</v>
      </c>
      <c r="H37" s="68">
        <f>G37+M37</f>
        <v>1746.7</v>
      </c>
      <c r="I37" s="77">
        <f t="shared" si="1"/>
        <v>0.552840639341668</v>
      </c>
      <c r="J37" s="77">
        <f t="shared" si="5"/>
        <v>0</v>
      </c>
      <c r="K37" s="71">
        <v>1840.2</v>
      </c>
      <c r="L37" s="77">
        <f t="shared" si="4"/>
        <v>0.9491903054015868</v>
      </c>
      <c r="M37" s="71">
        <v>197.4</v>
      </c>
      <c r="N37" s="71">
        <v>184.4</v>
      </c>
      <c r="O37" s="77">
        <f t="shared" si="15"/>
        <v>1.0704989154013016</v>
      </c>
      <c r="P37" s="71"/>
      <c r="Q37" s="71"/>
      <c r="R37" s="71"/>
      <c r="S37" s="140"/>
    </row>
    <row r="38" spans="1:18" ht="18">
      <c r="A38" s="13" t="s">
        <v>46</v>
      </c>
      <c r="B38" s="34" t="s">
        <v>37</v>
      </c>
      <c r="C38" s="71"/>
      <c r="D38" s="83"/>
      <c r="E38" s="71">
        <f>C38+D38</f>
        <v>0</v>
      </c>
      <c r="F38" s="71"/>
      <c r="G38" s="71"/>
      <c r="H38" s="68">
        <f>G38+M38</f>
        <v>0</v>
      </c>
      <c r="I38" s="77">
        <f>IF(E38&gt;0,H38/E38,0)</f>
        <v>0</v>
      </c>
      <c r="J38" s="77">
        <f>IF(F38&gt;0,H38/F38,0)</f>
        <v>0</v>
      </c>
      <c r="K38" s="71">
        <v>228.6</v>
      </c>
      <c r="L38" s="77">
        <f t="shared" si="4"/>
        <v>0</v>
      </c>
      <c r="M38" s="71"/>
      <c r="N38" s="71"/>
      <c r="O38" s="77">
        <f t="shared" si="15"/>
        <v>0</v>
      </c>
      <c r="P38" s="71"/>
      <c r="Q38" s="71"/>
      <c r="R38" s="71"/>
    </row>
    <row r="39" spans="1:18" ht="18">
      <c r="A39" s="9" t="s">
        <v>2</v>
      </c>
      <c r="B39" s="9">
        <v>0</v>
      </c>
      <c r="C39" s="78">
        <f aca="true" t="shared" si="18" ref="C39:H39">C35+C37+C38</f>
        <v>4769.1</v>
      </c>
      <c r="D39" s="78">
        <f t="shared" si="18"/>
        <v>375.623</v>
      </c>
      <c r="E39" s="78">
        <f t="shared" si="18"/>
        <v>5144.723</v>
      </c>
      <c r="F39" s="79">
        <f t="shared" si="18"/>
        <v>0</v>
      </c>
      <c r="G39" s="79">
        <f t="shared" si="18"/>
        <v>2043.6999999999998</v>
      </c>
      <c r="H39" s="79">
        <f t="shared" si="18"/>
        <v>2358</v>
      </c>
      <c r="I39" s="91">
        <f t="shared" si="1"/>
        <v>0.45833371398226885</v>
      </c>
      <c r="J39" s="91"/>
      <c r="K39" s="79">
        <f>K35+K37+K38</f>
        <v>2722.9</v>
      </c>
      <c r="L39" s="91">
        <f t="shared" si="4"/>
        <v>0.8659884681773109</v>
      </c>
      <c r="M39" s="79">
        <f>M35+M37+M38</f>
        <v>314.3</v>
      </c>
      <c r="N39" s="79">
        <f>N35+N37+N38</f>
        <v>319</v>
      </c>
      <c r="O39" s="91">
        <f t="shared" si="15"/>
        <v>0.9852664576802508</v>
      </c>
      <c r="P39" s="79">
        <f>P35+P37+P38</f>
        <v>39.4</v>
      </c>
      <c r="Q39" s="79">
        <f>Q35+Q37+Q38</f>
        <v>31.3</v>
      </c>
      <c r="R39" s="79">
        <f>R35+R37+R38</f>
        <v>31.3</v>
      </c>
    </row>
    <row r="40" spans="7:9" ht="18" customHeight="1">
      <c r="G40" s="5"/>
      <c r="I40" s="154"/>
    </row>
    <row r="41" ht="12.75">
      <c r="G41" s="6"/>
    </row>
  </sheetData>
  <sheetProtection/>
  <mergeCells count="15">
    <mergeCell ref="D3:D4"/>
    <mergeCell ref="N3:N4"/>
    <mergeCell ref="O3:O4"/>
    <mergeCell ref="M3:M4"/>
    <mergeCell ref="F3:F4"/>
    <mergeCell ref="C1:M1"/>
    <mergeCell ref="B2:R2"/>
    <mergeCell ref="G3:G4"/>
    <mergeCell ref="K3:L3"/>
    <mergeCell ref="H3:J3"/>
    <mergeCell ref="A3:A4"/>
    <mergeCell ref="B3:B4"/>
    <mergeCell ref="C3:C4"/>
    <mergeCell ref="E3:E4"/>
    <mergeCell ref="P3:R3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82"/>
  <sheetViews>
    <sheetView zoomScalePageLayoutView="0" workbookViewId="0" topLeftCell="A1">
      <pane xSplit="2" ySplit="6" topLeftCell="E2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R20" sqref="R20"/>
    </sheetView>
  </sheetViews>
  <sheetFormatPr defaultColWidth="9.00390625" defaultRowHeight="12.75"/>
  <cols>
    <col min="1" max="1" width="40.625" style="0" customWidth="1"/>
    <col min="2" max="2" width="15.375" style="0" customWidth="1"/>
    <col min="3" max="3" width="16.00390625" style="0" customWidth="1"/>
    <col min="4" max="4" width="15.00390625" style="0" customWidth="1"/>
    <col min="5" max="5" width="16.625" style="0" customWidth="1"/>
    <col min="6" max="6" width="11.25390625" style="0" hidden="1" customWidth="1"/>
    <col min="7" max="7" width="13.75390625" style="0" customWidth="1"/>
    <col min="8" max="8" width="13.375" style="0" customWidth="1"/>
    <col min="9" max="9" width="12.25390625" style="0" customWidth="1"/>
    <col min="10" max="10" width="11.75390625" style="0" hidden="1" customWidth="1"/>
    <col min="11" max="11" width="14.625" style="0" customWidth="1"/>
    <col min="12" max="12" width="14.375" style="0" customWidth="1"/>
    <col min="13" max="14" width="13.625" style="0" customWidth="1"/>
    <col min="15" max="15" width="14.00390625" style="0" customWidth="1"/>
    <col min="16" max="16" width="10.625" style="0" customWidth="1"/>
    <col min="17" max="17" width="11.25390625" style="0" customWidth="1"/>
    <col min="18" max="18" width="11.75390625" style="0" customWidth="1"/>
    <col min="19" max="19" width="14.00390625" style="0" customWidth="1"/>
  </cols>
  <sheetData>
    <row r="1" spans="1:18" ht="21" customHeight="1">
      <c r="A1" s="193" t="s">
        <v>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</row>
    <row r="2" spans="1:18" ht="16.5" customHeight="1">
      <c r="A2" s="194" t="s">
        <v>130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5.75" customHeight="1">
      <c r="A3" s="196" t="s">
        <v>3</v>
      </c>
      <c r="B3" s="196" t="s">
        <v>4</v>
      </c>
      <c r="C3" s="195" t="s">
        <v>115</v>
      </c>
      <c r="D3" s="195" t="s">
        <v>24</v>
      </c>
      <c r="E3" s="195" t="s">
        <v>116</v>
      </c>
      <c r="F3" s="195" t="s">
        <v>99</v>
      </c>
      <c r="G3" s="195" t="s">
        <v>119</v>
      </c>
      <c r="H3" s="195" t="s">
        <v>117</v>
      </c>
      <c r="I3" s="195"/>
      <c r="J3" s="195"/>
      <c r="K3" s="195" t="s">
        <v>111</v>
      </c>
      <c r="L3" s="195"/>
      <c r="M3" s="195" t="s">
        <v>122</v>
      </c>
      <c r="N3" s="195" t="s">
        <v>123</v>
      </c>
      <c r="O3" s="195" t="s">
        <v>30</v>
      </c>
      <c r="P3" s="195" t="s">
        <v>9</v>
      </c>
      <c r="Q3" s="195"/>
      <c r="R3" s="195"/>
    </row>
    <row r="4" spans="1:18" ht="99" customHeight="1">
      <c r="A4" s="197"/>
      <c r="B4" s="197"/>
      <c r="C4" s="195"/>
      <c r="D4" s="195"/>
      <c r="E4" s="195"/>
      <c r="F4" s="195"/>
      <c r="G4" s="195"/>
      <c r="H4" s="127" t="s">
        <v>121</v>
      </c>
      <c r="I4" s="127" t="s">
        <v>10</v>
      </c>
      <c r="J4" s="127" t="s">
        <v>29</v>
      </c>
      <c r="K4" s="127" t="s">
        <v>121</v>
      </c>
      <c r="L4" s="127" t="s">
        <v>30</v>
      </c>
      <c r="M4" s="195"/>
      <c r="N4" s="195"/>
      <c r="O4" s="195"/>
      <c r="P4" s="125" t="s">
        <v>114</v>
      </c>
      <c r="Q4" s="125" t="s">
        <v>120</v>
      </c>
      <c r="R4" s="125" t="s">
        <v>131</v>
      </c>
    </row>
    <row r="5" spans="1:18" ht="18">
      <c r="A5" s="7" t="s">
        <v>21</v>
      </c>
      <c r="B5" s="17"/>
      <c r="C5" s="94">
        <f aca="true" t="shared" si="0" ref="C5:H5">C6+C10+C15+C21+C25+C26</f>
        <v>74529.02</v>
      </c>
      <c r="D5" s="94">
        <f t="shared" si="0"/>
        <v>-3190.83</v>
      </c>
      <c r="E5" s="124">
        <f t="shared" si="0"/>
        <v>71338.19</v>
      </c>
      <c r="F5" s="94" t="e">
        <f t="shared" si="0"/>
        <v>#REF!</v>
      </c>
      <c r="G5" s="94">
        <f t="shared" si="0"/>
        <v>28604.800000000003</v>
      </c>
      <c r="H5" s="120">
        <f t="shared" si="0"/>
        <v>32968.100000000006</v>
      </c>
      <c r="I5" s="95">
        <f>IF(E5&gt;0,H5/E5,0)</f>
        <v>0.46213816190178086</v>
      </c>
      <c r="J5" s="95" t="e">
        <f>IF(F5&gt;0,H5/F5,0)</f>
        <v>#REF!</v>
      </c>
      <c r="K5" s="94">
        <f>K6+K10+K15+K21+K25+K26</f>
        <v>36909.4</v>
      </c>
      <c r="L5" s="95">
        <f>IF(K5&gt;0,H5/K5,0)</f>
        <v>0.893216904094892</v>
      </c>
      <c r="M5" s="94">
        <f>M6+M10+M15+M21+M25+M26</f>
        <v>4363.3</v>
      </c>
      <c r="N5" s="94">
        <f>N6+N10+N15+N21+N25+N26</f>
        <v>3405.0999999999995</v>
      </c>
      <c r="O5" s="95">
        <f>IF(N5&gt;0,M5/N5,0)</f>
        <v>1.2814014272708587</v>
      </c>
      <c r="P5" s="120">
        <f>P6+P10+P15+P21+P25+P26</f>
        <v>1003.6</v>
      </c>
      <c r="Q5" s="94">
        <f>Q6+Q10+Q15+Q21+Q25+Q26</f>
        <v>3547.5999999999995</v>
      </c>
      <c r="R5" s="94">
        <f>R6+R10+R15+R21+R25+R26</f>
        <v>2253.9999999999995</v>
      </c>
    </row>
    <row r="6" spans="1:19" ht="18">
      <c r="A6" s="9" t="s">
        <v>63</v>
      </c>
      <c r="B6" s="18">
        <v>1010200001</v>
      </c>
      <c r="C6" s="96">
        <f>C7+C8+C9</f>
        <v>22200</v>
      </c>
      <c r="D6" s="153">
        <f>D7+D8+D9</f>
        <v>0</v>
      </c>
      <c r="E6" s="153">
        <f>E7+E8+E9</f>
        <v>22200</v>
      </c>
      <c r="F6" s="96" t="e">
        <f>F7+F8+F9+#REF!</f>
        <v>#REF!</v>
      </c>
      <c r="G6" s="96">
        <f>G7+G8+G9</f>
        <v>8043.000000000001</v>
      </c>
      <c r="H6" s="96">
        <f>H7+H8+H9</f>
        <v>9831.4</v>
      </c>
      <c r="I6" s="97">
        <f aca="true" t="shared" si="1" ref="I6:I50">IF(E6&gt;0,H6/E6,0)</f>
        <v>0.44285585585585585</v>
      </c>
      <c r="J6" s="97" t="e">
        <f aca="true" t="shared" si="2" ref="J6:J50">IF(F6&gt;0,H6/F6,0)</f>
        <v>#REF!</v>
      </c>
      <c r="K6" s="96">
        <f>K7+K8+K9</f>
        <v>9975.8</v>
      </c>
      <c r="L6" s="97">
        <f aca="true" t="shared" si="3" ref="L6:L50">IF(K6&gt;0,H6/K6,0)</f>
        <v>0.9855249704284369</v>
      </c>
      <c r="M6" s="96">
        <f>M7+M8+M9</f>
        <v>1788.4000000000003</v>
      </c>
      <c r="N6" s="96">
        <f>N7+N8+N9</f>
        <v>1561.6999999999998</v>
      </c>
      <c r="O6" s="97">
        <f aca="true" t="shared" si="4" ref="O6:O50">IF(N6&gt;0,M6/N6,0)</f>
        <v>1.1451623231094323</v>
      </c>
      <c r="P6" s="96">
        <f>P7+P8+P9</f>
        <v>70.89999999999999</v>
      </c>
      <c r="Q6" s="96">
        <f>Q7+Q8+Q9</f>
        <v>122.30000000000001</v>
      </c>
      <c r="R6" s="169">
        <f>R7+R8+R9</f>
        <v>77</v>
      </c>
      <c r="S6" s="170"/>
    </row>
    <row r="7" spans="1:19" ht="18" customHeight="1">
      <c r="A7" s="10" t="s">
        <v>40</v>
      </c>
      <c r="B7" s="13">
        <v>1010201001</v>
      </c>
      <c r="C7" s="98">
        <f>муниц!C6+'Лен '!C7+Высокор!C7+Гост!C7+Новотр!C7+Черн!C7</f>
        <v>22059</v>
      </c>
      <c r="D7" s="118">
        <f>муниц!D6+'Лен '!D7+Высокор!D7+Гост!D7+Новотр!D7+Черн!D7</f>
        <v>0</v>
      </c>
      <c r="E7" s="102">
        <f>C7+D7</f>
        <v>22059</v>
      </c>
      <c r="F7" s="98">
        <f>муниц!F6+'Лен '!F7+Высокор!F7+Гост!F7+Новотр!F7+Черн!F7</f>
        <v>9824.7</v>
      </c>
      <c r="G7" s="98">
        <f>муниц!G6+'Лен '!G7+Высокор!G7+Гост!G7+Новотр!G7+Черн!G7</f>
        <v>7982.200000000001</v>
      </c>
      <c r="H7" s="100">
        <f>G7+M7</f>
        <v>9770.6</v>
      </c>
      <c r="I7" s="101">
        <f t="shared" si="1"/>
        <v>0.4429303232240809</v>
      </c>
      <c r="J7" s="101">
        <f t="shared" si="2"/>
        <v>0.9944934705385405</v>
      </c>
      <c r="K7" s="98">
        <f>муниц!K6+'Лен '!K7+Высокор!K7+Гост!K7+Новотр!K7+Черн!K7</f>
        <v>9910.9</v>
      </c>
      <c r="L7" s="101">
        <f t="shared" si="3"/>
        <v>0.9858438688716464</v>
      </c>
      <c r="M7" s="98">
        <f>муниц!M6+'Лен '!M7+Высокор!M7+Гост!M7+Новотр!M7+Черн!M7</f>
        <v>1788.4000000000003</v>
      </c>
      <c r="N7" s="98">
        <f>муниц!N6+'Лен '!N7+Высокор!N7+Гост!N7+Новотр!N7+Черн!N7</f>
        <v>1564.9999999999998</v>
      </c>
      <c r="O7" s="101">
        <f t="shared" si="4"/>
        <v>1.1427476038338662</v>
      </c>
      <c r="P7" s="98">
        <f>муниц!P6+'Лен '!P7+Высокор!P7+Гост!P7+Новотр!P7+Черн!P7</f>
        <v>51.599999999999994</v>
      </c>
      <c r="Q7" s="98">
        <f>муниц!Q6+'Лен '!Q7+Высокор!Q7+Гост!Q7+Новотр!Q7+Черн!Q7</f>
        <v>113.30000000000001</v>
      </c>
      <c r="R7" s="98">
        <f>муниц!R6+'Лен '!R7+Высокор!R7+Гост!R7+Новотр!R7+Черн!R7</f>
        <v>68</v>
      </c>
      <c r="S7" s="26"/>
    </row>
    <row r="8" spans="1:19" ht="18.75" customHeight="1">
      <c r="A8" s="10" t="s">
        <v>41</v>
      </c>
      <c r="B8" s="13">
        <v>1010202001</v>
      </c>
      <c r="C8" s="98">
        <f>муниц!C7+'Лен '!C8+Высокор!C8+Гост!C8+Новотр!C8+Черн!C8</f>
        <v>54</v>
      </c>
      <c r="D8" s="98">
        <f>муниц!D7+'Лен '!D8+Высокор!D8+Гост!D8+Новотр!D8+Черн!D8</f>
        <v>0</v>
      </c>
      <c r="E8" s="102">
        <f>C8+D8</f>
        <v>54</v>
      </c>
      <c r="F8" s="98">
        <f>муниц!F7+'Лен '!F8+Высокор!F8+Гост!F8+Новотр!F8+Черн!F8</f>
        <v>26.1</v>
      </c>
      <c r="G8" s="98">
        <f>муниц!G7+'Лен '!G8+Высокор!G8+Гост!G8+Новотр!G8+Черн!G8</f>
        <v>20.8</v>
      </c>
      <c r="H8" s="100">
        <f>G8+M8</f>
        <v>20.8</v>
      </c>
      <c r="I8" s="101">
        <f t="shared" si="1"/>
        <v>0.3851851851851852</v>
      </c>
      <c r="J8" s="101">
        <f t="shared" si="2"/>
        <v>0.7969348659003831</v>
      </c>
      <c r="K8" s="98">
        <f>муниц!K7+'Лен '!K8+Высокор!K8+Гост!K8+Новотр!K8+Черн!K8</f>
        <v>-5.4</v>
      </c>
      <c r="L8" s="101">
        <f t="shared" si="3"/>
        <v>0</v>
      </c>
      <c r="M8" s="98">
        <f>муниц!M7+'Лен '!M8+Высокор!M8+Гост!M8+Новотр!M8+Черн!M8</f>
        <v>0</v>
      </c>
      <c r="N8" s="98">
        <f>муниц!N7+'Лен '!N8+Высокор!N8+Гост!N8+Новотр!N8+Черн!N8</f>
        <v>-5.6</v>
      </c>
      <c r="O8" s="101">
        <f t="shared" si="4"/>
        <v>0</v>
      </c>
      <c r="P8" s="98">
        <f>муниц!P7+'Лен '!P8+Высокор!P8+Гост!P8+Новотр!P8+Черн!P8</f>
        <v>0</v>
      </c>
      <c r="Q8" s="98">
        <f>муниц!Q7+'Лен '!Q8+Высокор!Q8+Гост!Q8+Новотр!Q8+Черн!Q8</f>
        <v>0</v>
      </c>
      <c r="R8" s="98">
        <f>муниц!R7+'Лен '!R8+Высокор!R8+Гост!R8+Новотр!R8+Черн!R8</f>
        <v>0</v>
      </c>
      <c r="S8" s="26"/>
    </row>
    <row r="9" spans="1:19" ht="17.25" customHeight="1">
      <c r="A9" s="10" t="s">
        <v>42</v>
      </c>
      <c r="B9" s="13">
        <v>1010203001</v>
      </c>
      <c r="C9" s="98">
        <f>муниц!C8+'Лен '!C9+Высокор!C9+Гост!C9+Новотр!C9+Черн!C9</f>
        <v>87.00000000000001</v>
      </c>
      <c r="D9" s="98">
        <f>муниц!D8+'Лен '!D9+Высокор!D9+Гост!D9+Новотр!D9+Черн!D9</f>
        <v>0</v>
      </c>
      <c r="E9" s="99">
        <f>C9+D9</f>
        <v>87.00000000000001</v>
      </c>
      <c r="F9" s="98">
        <f>муниц!F8+'Лен '!F9+Высокор!F9+Гост!F9+Новотр!F9+Черн!F9</f>
        <v>47</v>
      </c>
      <c r="G9" s="98">
        <f>муниц!G8+'Лен '!G9+Высокор!G9+Гост!G9+Новотр!G9+Черн!G9</f>
        <v>40</v>
      </c>
      <c r="H9" s="100">
        <f>G9+M9</f>
        <v>40</v>
      </c>
      <c r="I9" s="101">
        <f t="shared" si="1"/>
        <v>0.4597701149425287</v>
      </c>
      <c r="J9" s="101">
        <f t="shared" si="2"/>
        <v>0.851063829787234</v>
      </c>
      <c r="K9" s="98">
        <f>муниц!K8+'Лен '!K9+Высокор!K9+Гост!K9+Новотр!K9+Черн!K9</f>
        <v>70.3</v>
      </c>
      <c r="L9" s="101">
        <f t="shared" si="3"/>
        <v>0.5689900426742532</v>
      </c>
      <c r="M9" s="98">
        <f>муниц!M8+'Лен '!M9+Высокор!M9+Гост!M9+Новотр!M9+Черн!M9</f>
        <v>0</v>
      </c>
      <c r="N9" s="98">
        <f>муниц!N8+'Лен '!N9+Высокор!N9+Гост!N9+Новотр!N9+Черн!N9</f>
        <v>2.3000000000000003</v>
      </c>
      <c r="O9" s="101">
        <f t="shared" si="4"/>
        <v>0</v>
      </c>
      <c r="P9" s="98">
        <f>муниц!P8+'Лен '!P9+Высокор!P9+Гост!P9+Новотр!P9+Черн!P9</f>
        <v>19.3</v>
      </c>
      <c r="Q9" s="98">
        <f>муниц!Q8+'Лен '!Q9+Высокор!Q9+Гост!Q9+Новотр!Q9+Черн!Q9</f>
        <v>8.999999999999998</v>
      </c>
      <c r="R9" s="98">
        <f>муниц!R8+'Лен '!R9+Высокор!R9+Гост!R9+Новотр!R9+Черн!R9</f>
        <v>8.999999999999998</v>
      </c>
      <c r="S9" s="26"/>
    </row>
    <row r="10" spans="1:19" ht="18" customHeight="1">
      <c r="A10" s="11" t="s">
        <v>48</v>
      </c>
      <c r="B10" s="19">
        <v>1030200001</v>
      </c>
      <c r="C10" s="103">
        <f aca="true" t="shared" si="5" ref="C10:H10">SUM(C11:C14)</f>
        <v>12077.220000000001</v>
      </c>
      <c r="D10" s="103">
        <f t="shared" si="5"/>
        <v>0</v>
      </c>
      <c r="E10" s="103">
        <f t="shared" si="5"/>
        <v>12077.220000000001</v>
      </c>
      <c r="F10" s="103">
        <f t="shared" si="5"/>
        <v>0</v>
      </c>
      <c r="G10" s="103">
        <f t="shared" si="5"/>
        <v>4185.700000000001</v>
      </c>
      <c r="H10" s="103">
        <f t="shared" si="5"/>
        <v>4911.299999999999</v>
      </c>
      <c r="I10" s="97">
        <f t="shared" si="1"/>
        <v>0.406658154774029</v>
      </c>
      <c r="J10" s="97">
        <f t="shared" si="2"/>
        <v>0</v>
      </c>
      <c r="K10" s="103">
        <f>SUM(K11:K14)</f>
        <v>5535.5</v>
      </c>
      <c r="L10" s="97">
        <f t="shared" si="3"/>
        <v>0.887236925300334</v>
      </c>
      <c r="M10" s="103">
        <f>SUM(M11:M14)</f>
        <v>725.6</v>
      </c>
      <c r="N10" s="103">
        <f>SUM(N11:N14)</f>
        <v>859.9</v>
      </c>
      <c r="O10" s="97">
        <f t="shared" si="4"/>
        <v>0.8438190487265962</v>
      </c>
      <c r="P10" s="103">
        <f>SUM(P11:P14)</f>
        <v>0</v>
      </c>
      <c r="Q10" s="103">
        <f>SUM(Q11:Q14)</f>
        <v>0</v>
      </c>
      <c r="R10" s="103">
        <f>SUM(R11:R14)</f>
        <v>0</v>
      </c>
      <c r="S10" s="26"/>
    </row>
    <row r="11" spans="1:19" ht="18">
      <c r="A11" s="12" t="s">
        <v>49</v>
      </c>
      <c r="B11" s="12">
        <v>1030223101</v>
      </c>
      <c r="C11" s="98">
        <f>муниц!C10+'Лен '!C11+Высокор!C11+Гост!C11+Новотр!C11+Черн!C11</f>
        <v>5534.250000000001</v>
      </c>
      <c r="D11" s="98">
        <f>муниц!D10+'Лен '!D11+Высокор!D11+Гост!D11+Новотр!D11+Черн!D11</f>
        <v>0</v>
      </c>
      <c r="E11" s="99">
        <f>C11+D11</f>
        <v>5534.250000000001</v>
      </c>
      <c r="F11" s="98">
        <f>муниц!F10+'Лен '!F11+Высокор!F11+Гост!F11+Новотр!F11+Черн!F11</f>
        <v>0</v>
      </c>
      <c r="G11" s="98">
        <f>муниц!G10+'Лен '!G11+Высокор!G11+Гост!G11+Новотр!G11+Черн!G11</f>
        <v>1968.6</v>
      </c>
      <c r="H11" s="100">
        <f>G11+M11</f>
        <v>2327</v>
      </c>
      <c r="I11" s="101">
        <f t="shared" si="1"/>
        <v>0.42047251208384145</v>
      </c>
      <c r="J11" s="101">
        <f t="shared" si="2"/>
        <v>0</v>
      </c>
      <c r="K11" s="98">
        <f>муниц!K10+'Лен '!K11+Высокор!K11+Гост!K11+Новотр!K11+Черн!K11</f>
        <v>2512.9</v>
      </c>
      <c r="L11" s="101">
        <f t="shared" si="3"/>
        <v>0.926021727884118</v>
      </c>
      <c r="M11" s="98">
        <f>муниц!M10+'Лен '!M11+Высокор!M11+Гост!M11+Новотр!M11+Черн!M11</f>
        <v>358.40000000000003</v>
      </c>
      <c r="N11" s="98">
        <f>муниц!N10+'Лен '!N11+Высокор!N11+Гост!N11+Новотр!N11+Черн!N11</f>
        <v>400.7</v>
      </c>
      <c r="O11" s="101">
        <f t="shared" si="4"/>
        <v>0.8944347392063889</v>
      </c>
      <c r="P11" s="98">
        <f>муниц!P10+'Лен '!P11+Высокор!P11+Гост!P11+Новотр!P11+Черн!P11</f>
        <v>0</v>
      </c>
      <c r="Q11" s="98">
        <f>муниц!Q10+'Лен '!Q11+Высокор!Q11+Гост!Q11+Новотр!Q11+Черн!Q11</f>
        <v>0</v>
      </c>
      <c r="R11" s="98">
        <f>муниц!R10+'Лен '!R11+Высокор!R11+Гост!R11+Новотр!R11+Черн!R11</f>
        <v>0</v>
      </c>
      <c r="S11" s="26"/>
    </row>
    <row r="12" spans="1:19" ht="18">
      <c r="A12" s="12" t="s">
        <v>50</v>
      </c>
      <c r="B12" s="12">
        <v>1030224101</v>
      </c>
      <c r="C12" s="98">
        <f>муниц!C11+'Лен '!C12+Высокор!C12+Гост!C12+Новотр!C12+Черн!C12</f>
        <v>28.44</v>
      </c>
      <c r="D12" s="98">
        <f>муниц!D11+'Лен '!D12+Высокор!D12+Гост!D12+Новотр!D12+Черн!D12</f>
        <v>0</v>
      </c>
      <c r="E12" s="99">
        <f>C12+D12</f>
        <v>28.44</v>
      </c>
      <c r="F12" s="98">
        <f>муниц!F11+'Лен '!F12+Высокор!F12+Гост!F12+Новотр!F12+Черн!F12</f>
        <v>0</v>
      </c>
      <c r="G12" s="98">
        <f>муниц!G11+'Лен '!G12+Высокор!G12+Гост!G12+Новотр!G12+Черн!G12</f>
        <v>12.5</v>
      </c>
      <c r="H12" s="100">
        <f>G12+M12</f>
        <v>15.100000000000001</v>
      </c>
      <c r="I12" s="101">
        <f t="shared" si="1"/>
        <v>0.5309423347398031</v>
      </c>
      <c r="J12" s="101">
        <f t="shared" si="2"/>
        <v>0</v>
      </c>
      <c r="K12" s="98">
        <f>муниц!K11+'Лен '!K12+Высокор!K12+Гост!K12+Новотр!K12+Черн!K12</f>
        <v>19.1</v>
      </c>
      <c r="L12" s="101">
        <f t="shared" si="3"/>
        <v>0.7905759162303665</v>
      </c>
      <c r="M12" s="98">
        <f>муниц!M11+'Лен '!M12+Высокор!M12+Гост!M12+Новотр!M12+Черн!M12</f>
        <v>2.6000000000000005</v>
      </c>
      <c r="N12" s="98">
        <f>муниц!N11+'Лен '!N12+Высокор!N12+Гост!N12+Новотр!N12+Черн!N12</f>
        <v>3.3000000000000007</v>
      </c>
      <c r="O12" s="101">
        <f t="shared" si="4"/>
        <v>0.7878787878787878</v>
      </c>
      <c r="P12" s="98">
        <f>муниц!P11+'Лен '!P12+Высокор!P12+Гост!P12+Новотр!P12+Черн!P12</f>
        <v>0</v>
      </c>
      <c r="Q12" s="98">
        <f>муниц!Q11+'Лен '!Q12+Высокор!Q12+Гост!Q12+Новотр!Q12+Черн!Q12</f>
        <v>0</v>
      </c>
      <c r="R12" s="98">
        <f>муниц!R11+'Лен '!R12+Высокор!R12+Гост!R12+Новотр!R12+Черн!R12</f>
        <v>0</v>
      </c>
      <c r="S12" s="26"/>
    </row>
    <row r="13" spans="1:19" ht="18" customHeight="1">
      <c r="A13" s="12" t="s">
        <v>51</v>
      </c>
      <c r="B13" s="12">
        <v>1030225101</v>
      </c>
      <c r="C13" s="98">
        <f>муниц!C12+'Лен '!C13+Высокор!C13+Гост!C13+Новотр!C13+Черн!C13</f>
        <v>7228.77</v>
      </c>
      <c r="D13" s="98">
        <f>муниц!D12+'Лен '!D13+Высокор!D13+Гост!D13+Новотр!D13+Черн!D13</f>
        <v>0</v>
      </c>
      <c r="E13" s="99">
        <f>C13+D13</f>
        <v>7228.77</v>
      </c>
      <c r="F13" s="98">
        <f>муниц!F12+'Лен '!F13+Высокор!F13+Гост!F13+Новотр!F13+Черн!F13</f>
        <v>0</v>
      </c>
      <c r="G13" s="98">
        <f>муниц!G12+'Лен '!G13+Высокор!G13+Гост!G13+Новотр!G13+Черн!G13</f>
        <v>2617</v>
      </c>
      <c r="H13" s="100">
        <f>G13+M13</f>
        <v>3032.3</v>
      </c>
      <c r="I13" s="101">
        <f t="shared" si="1"/>
        <v>0.41947661912054196</v>
      </c>
      <c r="J13" s="101">
        <f t="shared" si="2"/>
        <v>0</v>
      </c>
      <c r="K13" s="98">
        <f>муниц!K12+'Лен '!K13+Высокор!K13+Гост!K13+Новотр!K13+Черн!K13</f>
        <v>3482.1000000000004</v>
      </c>
      <c r="L13" s="101">
        <f t="shared" si="3"/>
        <v>0.8708250768214583</v>
      </c>
      <c r="M13" s="98">
        <f>муниц!M12+'Лен '!M13+Высокор!M13+Гост!M13+Новотр!M13+Черн!M13</f>
        <v>415.3</v>
      </c>
      <c r="N13" s="98">
        <f>муниц!N12+'Лен '!N13+Высокор!N13+Гост!N13+Новотр!N13+Черн!N13</f>
        <v>550.4</v>
      </c>
      <c r="O13" s="101">
        <f t="shared" si="4"/>
        <v>0.7545421511627908</v>
      </c>
      <c r="P13" s="98">
        <f>муниц!P12+'Лен '!P13+Высокор!P13+Гост!P13+Новотр!P13+Черн!P13</f>
        <v>0</v>
      </c>
      <c r="Q13" s="98">
        <f>муниц!Q12+'Лен '!Q13+Высокор!Q13+Гост!Q13+Новотр!Q13+Черн!Q13</f>
        <v>0</v>
      </c>
      <c r="R13" s="98">
        <f>муниц!R12+'Лен '!R13+Высокор!R13+Гост!R13+Новотр!R13+Черн!R13</f>
        <v>0</v>
      </c>
      <c r="S13" s="26"/>
    </row>
    <row r="14" spans="1:19" ht="18">
      <c r="A14" s="12" t="s">
        <v>52</v>
      </c>
      <c r="B14" s="12">
        <v>1030226101</v>
      </c>
      <c r="C14" s="98">
        <f>муниц!C13+'Лен '!C14+Высокор!C14+Гост!C14+Новотр!C14+Черн!C14</f>
        <v>-714.24</v>
      </c>
      <c r="D14" s="98">
        <f>муниц!D13+'Лен '!D14+Высокор!D14+Гост!D14+Новотр!D14+Черн!D14</f>
        <v>0</v>
      </c>
      <c r="E14" s="99">
        <f>C14+D14</f>
        <v>-714.24</v>
      </c>
      <c r="F14" s="98">
        <f>муниц!F13+'Лен '!F14+Высокор!F14+Гост!F14+Новотр!F14+Черн!F14</f>
        <v>0</v>
      </c>
      <c r="G14" s="98">
        <f>муниц!G13+'Лен '!G14+Высокор!G14+Гост!G14+Новотр!G14+Черн!G14</f>
        <v>-412.40000000000003</v>
      </c>
      <c r="H14" s="100">
        <f>G14+M14</f>
        <v>-463.1</v>
      </c>
      <c r="I14" s="101">
        <f>H14/E14</f>
        <v>0.6483814964157706</v>
      </c>
      <c r="J14" s="101">
        <f t="shared" si="2"/>
        <v>0</v>
      </c>
      <c r="K14" s="98">
        <f>муниц!K13+'Лен '!K14+Высокор!K14+Гост!K14+Новотр!K14+Черн!K14</f>
        <v>-478.6</v>
      </c>
      <c r="L14" s="101">
        <f t="shared" si="3"/>
        <v>0</v>
      </c>
      <c r="M14" s="98">
        <f>муниц!M13+'Лен '!M14+Высокор!M14+Гост!M14+Новотр!M14+Черн!M14</f>
        <v>-50.699999999999996</v>
      </c>
      <c r="N14" s="98">
        <f>муниц!N13+'Лен '!N14+Высокор!N14+Гост!N14+Новотр!N14+Черн!N14</f>
        <v>-94.5</v>
      </c>
      <c r="O14" s="101">
        <f t="shared" si="4"/>
        <v>0</v>
      </c>
      <c r="P14" s="98">
        <f>муниц!P13+'Лен '!P14+Высокор!P14+Гост!P14+Новотр!P14+Черн!P14</f>
        <v>0</v>
      </c>
      <c r="Q14" s="98">
        <f>муниц!Q13+'Лен '!Q14+Высокор!Q14+Гост!Q14+Новотр!Q14+Черн!Q14</f>
        <v>0</v>
      </c>
      <c r="R14" s="98">
        <f>муниц!R13+'Лен '!R14+Высокор!R14+Гост!R14+Новотр!R14+Черн!R14</f>
        <v>0</v>
      </c>
      <c r="S14" s="26"/>
    </row>
    <row r="15" spans="1:19" ht="18">
      <c r="A15" s="9" t="s">
        <v>82</v>
      </c>
      <c r="B15" s="18">
        <v>1050000000</v>
      </c>
      <c r="C15" s="96">
        <f aca="true" t="shared" si="6" ref="C15:H15">C16+C17+C18+C19+C20</f>
        <v>31935.8</v>
      </c>
      <c r="D15" s="96">
        <f t="shared" si="6"/>
        <v>-3190.83</v>
      </c>
      <c r="E15" s="96">
        <f t="shared" si="6"/>
        <v>28744.969999999998</v>
      </c>
      <c r="F15" s="96">
        <f t="shared" si="6"/>
        <v>11352.9</v>
      </c>
      <c r="G15" s="96">
        <f t="shared" si="6"/>
        <v>13041.000000000002</v>
      </c>
      <c r="H15" s="96">
        <f t="shared" si="6"/>
        <v>14776.7</v>
      </c>
      <c r="I15" s="97">
        <f t="shared" si="1"/>
        <v>0.5140621124321926</v>
      </c>
      <c r="J15" s="97">
        <f t="shared" si="2"/>
        <v>1.3015793321530182</v>
      </c>
      <c r="K15" s="96">
        <f>K16+K17+K18+K19+K20</f>
        <v>17965.800000000003</v>
      </c>
      <c r="L15" s="97">
        <f t="shared" si="3"/>
        <v>0.8224905097462957</v>
      </c>
      <c r="M15" s="96">
        <f>M16+M17+M18+M19+M20</f>
        <v>1735.7</v>
      </c>
      <c r="N15" s="96">
        <f>N16+N17+N18+N19+N20</f>
        <v>898.6999999999999</v>
      </c>
      <c r="O15" s="97">
        <f t="shared" si="4"/>
        <v>1.9313452765105155</v>
      </c>
      <c r="P15" s="96">
        <f>P16+P17+P18+P19+P20</f>
        <v>382.70000000000005</v>
      </c>
      <c r="Q15" s="96">
        <f>Q16+Q17+Q18+Q19+Q20</f>
        <v>3045.9999999999995</v>
      </c>
      <c r="R15" s="96">
        <f>R16+R17+R18+R19+R20</f>
        <v>1820.0999999999997</v>
      </c>
      <c r="S15" s="26"/>
    </row>
    <row r="16" spans="1:19" ht="18">
      <c r="A16" s="10" t="s">
        <v>53</v>
      </c>
      <c r="B16" s="28">
        <v>1050101001</v>
      </c>
      <c r="C16" s="98">
        <f>муниц!C15</f>
        <v>22720.8</v>
      </c>
      <c r="D16" s="98">
        <f>муниц!D15</f>
        <v>-3339.7</v>
      </c>
      <c r="E16" s="102">
        <f>C16+D16</f>
        <v>19381.1</v>
      </c>
      <c r="F16" s="98">
        <f>муниц!F15</f>
        <v>7051</v>
      </c>
      <c r="G16" s="98">
        <f>муниц!G15</f>
        <v>8732.7</v>
      </c>
      <c r="H16" s="100">
        <f>G16+M16</f>
        <v>9936.2</v>
      </c>
      <c r="I16" s="101">
        <f t="shared" si="1"/>
        <v>0.5126747191851856</v>
      </c>
      <c r="J16" s="101">
        <f t="shared" si="2"/>
        <v>1.40919018578925</v>
      </c>
      <c r="K16" s="98">
        <f>муниц!K15</f>
        <v>12033.5</v>
      </c>
      <c r="L16" s="101">
        <f t="shared" si="3"/>
        <v>0.8257115552416172</v>
      </c>
      <c r="M16" s="98">
        <f>муниц!M15</f>
        <v>1203.5</v>
      </c>
      <c r="N16" s="98">
        <f>муниц!N15</f>
        <v>425</v>
      </c>
      <c r="O16" s="101">
        <f t="shared" si="4"/>
        <v>2.8317647058823527</v>
      </c>
      <c r="P16" s="98">
        <f>муниц!P15</f>
        <v>327.6</v>
      </c>
      <c r="Q16" s="98">
        <f>муниц!Q15</f>
        <v>1317.3</v>
      </c>
      <c r="R16" s="98">
        <f>муниц!R15</f>
        <v>548.9</v>
      </c>
      <c r="S16" s="26"/>
    </row>
    <row r="17" spans="1:19" ht="18">
      <c r="A17" s="10" t="s">
        <v>54</v>
      </c>
      <c r="B17" s="28">
        <v>1050102001</v>
      </c>
      <c r="C17" s="98">
        <f>муниц!C16</f>
        <v>3500</v>
      </c>
      <c r="D17" s="98">
        <f>муниц!D16</f>
        <v>0</v>
      </c>
      <c r="E17" s="102">
        <f>C17+D17</f>
        <v>3500</v>
      </c>
      <c r="F17" s="98">
        <f>муниц!F16</f>
        <v>1509</v>
      </c>
      <c r="G17" s="98">
        <f>муниц!G16</f>
        <v>1173.6</v>
      </c>
      <c r="H17" s="100">
        <f>G17+M17</f>
        <v>1326.8999999999999</v>
      </c>
      <c r="I17" s="101">
        <f t="shared" si="1"/>
        <v>0.3791142857142857</v>
      </c>
      <c r="J17" s="101">
        <f t="shared" si="2"/>
        <v>0.8793240556660039</v>
      </c>
      <c r="K17" s="98">
        <f>муниц!K16</f>
        <v>3003.8</v>
      </c>
      <c r="L17" s="101">
        <f t="shared" si="3"/>
        <v>0.4417404620813635</v>
      </c>
      <c r="M17" s="98">
        <f>муниц!M16</f>
        <v>153.3</v>
      </c>
      <c r="N17" s="98">
        <f>муниц!N16</f>
        <v>423.3</v>
      </c>
      <c r="O17" s="101">
        <f t="shared" si="4"/>
        <v>0.36215450035435864</v>
      </c>
      <c r="P17" s="98">
        <f>муниц!P16</f>
        <v>11.6</v>
      </c>
      <c r="Q17" s="98">
        <f>муниц!Q16</f>
        <v>1333.6</v>
      </c>
      <c r="R17" s="98">
        <f>муниц!R16</f>
        <v>1220.3</v>
      </c>
      <c r="S17" s="26"/>
    </row>
    <row r="18" spans="1:19" ht="18">
      <c r="A18" s="13" t="s">
        <v>0</v>
      </c>
      <c r="B18" s="28">
        <v>1050200001</v>
      </c>
      <c r="C18" s="98">
        <f>муниц!C17</f>
        <v>4800</v>
      </c>
      <c r="D18" s="98">
        <f>муниц!D17</f>
        <v>0</v>
      </c>
      <c r="E18" s="102">
        <f>C18+D18</f>
        <v>4800</v>
      </c>
      <c r="F18" s="98">
        <f>муниц!F17</f>
        <v>2641</v>
      </c>
      <c r="G18" s="98">
        <f>муниц!G17</f>
        <v>2040.3</v>
      </c>
      <c r="H18" s="100">
        <f>G18+M18</f>
        <v>2371</v>
      </c>
      <c r="I18" s="101">
        <f t="shared" si="1"/>
        <v>0.49395833333333333</v>
      </c>
      <c r="J18" s="101">
        <f t="shared" si="2"/>
        <v>0.8977659977281333</v>
      </c>
      <c r="K18" s="98">
        <f>муниц!K17</f>
        <v>2462.9</v>
      </c>
      <c r="L18" s="101">
        <f t="shared" si="3"/>
        <v>0.9626862641601364</v>
      </c>
      <c r="M18" s="98">
        <f>муниц!M17</f>
        <v>330.7</v>
      </c>
      <c r="N18" s="98">
        <f>муниц!N17</f>
        <v>21.5</v>
      </c>
      <c r="O18" s="101">
        <f t="shared" si="4"/>
        <v>15.38139534883721</v>
      </c>
      <c r="P18" s="98">
        <f>муниц!P17</f>
        <v>43.5</v>
      </c>
      <c r="Q18" s="98">
        <f>муниц!Q17</f>
        <v>391.5</v>
      </c>
      <c r="R18" s="98">
        <f>муниц!R17</f>
        <v>46.6</v>
      </c>
      <c r="S18" s="26"/>
    </row>
    <row r="19" spans="1:19" ht="18">
      <c r="A19" s="13" t="s">
        <v>7</v>
      </c>
      <c r="B19" s="28">
        <v>1050300001</v>
      </c>
      <c r="C19" s="98">
        <f>муниц!C18+'Лен '!C16+Высокор!C16+Гост!C16+Новотр!C16+Черн!C16</f>
        <v>360</v>
      </c>
      <c r="D19" s="98">
        <f>муниц!D18+'Лен '!D16+Высокор!D16+Гост!D16+Новотр!D16+Черн!D16</f>
        <v>148.87</v>
      </c>
      <c r="E19" s="102">
        <f>C19+D19</f>
        <v>508.87</v>
      </c>
      <c r="F19" s="98">
        <f>муниц!F18+'Лен '!F16+Высокор!F16+Гост!F16+Новотр!F16+Черн!F16</f>
        <v>63</v>
      </c>
      <c r="G19" s="98">
        <f>муниц!G18+'Лен '!G16+Высокор!G16+Гост!G16+Новотр!G16+Черн!G16</f>
        <v>826.7</v>
      </c>
      <c r="H19" s="100">
        <f>G19+M19</f>
        <v>851</v>
      </c>
      <c r="I19" s="101">
        <f t="shared" si="1"/>
        <v>1.6723328158468764</v>
      </c>
      <c r="J19" s="101">
        <f t="shared" si="2"/>
        <v>13.507936507936508</v>
      </c>
      <c r="K19" s="98">
        <f>муниц!K18+'Лен '!K16+Высокор!K16+Гост!K16+Новотр!K16+Черн!K16</f>
        <v>179.4</v>
      </c>
      <c r="L19" s="101">
        <f t="shared" si="3"/>
        <v>4.743589743589744</v>
      </c>
      <c r="M19" s="98">
        <f>муниц!M18+'Лен '!M16+Высокор!M16+Гост!M16+Новотр!M16+Черн!M16</f>
        <v>24.299999999999997</v>
      </c>
      <c r="N19" s="98">
        <f>муниц!N18+'Лен '!N16+Высокор!N16+Гост!N16+Новотр!N16+Черн!N16</f>
        <v>0</v>
      </c>
      <c r="O19" s="101">
        <f t="shared" si="4"/>
        <v>0</v>
      </c>
      <c r="P19" s="98">
        <f>муниц!P18+'Лен '!P16+Высокор!P16+Гост!P16+Новотр!P16+Черн!P16</f>
        <v>0</v>
      </c>
      <c r="Q19" s="98">
        <f>муниц!Q18+'Лен '!Q16+Высокор!Q16+Гост!Q16+Новотр!Q16+Черн!Q16</f>
        <v>3.6</v>
      </c>
      <c r="R19" s="98">
        <f>муниц!R18+'Лен '!R16+Высокор!R16+Гост!R16+Новотр!R16+Черн!R16</f>
        <v>3.6</v>
      </c>
      <c r="S19" s="26"/>
    </row>
    <row r="20" spans="1:19" ht="18">
      <c r="A20" s="10" t="s">
        <v>96</v>
      </c>
      <c r="B20" s="28">
        <v>1050402002</v>
      </c>
      <c r="C20" s="98">
        <f>муниц!C19</f>
        <v>555</v>
      </c>
      <c r="D20" s="98">
        <f>муниц!D19</f>
        <v>0</v>
      </c>
      <c r="E20" s="102">
        <f>C20+D20</f>
        <v>555</v>
      </c>
      <c r="F20" s="98">
        <f>муниц!F19</f>
        <v>88.9</v>
      </c>
      <c r="G20" s="98">
        <f>муниц!G19</f>
        <v>267.7</v>
      </c>
      <c r="H20" s="100">
        <f>G20+M20</f>
        <v>291.59999999999997</v>
      </c>
      <c r="I20" s="101">
        <f t="shared" si="1"/>
        <v>0.5254054054054054</v>
      </c>
      <c r="J20" s="101">
        <f t="shared" si="2"/>
        <v>3.2800899887514054</v>
      </c>
      <c r="K20" s="98">
        <f>муниц!K19</f>
        <v>286.2</v>
      </c>
      <c r="L20" s="101">
        <f t="shared" si="3"/>
        <v>1.0188679245283019</v>
      </c>
      <c r="M20" s="98">
        <f>муниц!M19</f>
        <v>23.9</v>
      </c>
      <c r="N20" s="98">
        <f>муниц!N19</f>
        <v>28.9</v>
      </c>
      <c r="O20" s="101">
        <f t="shared" si="4"/>
        <v>0.8269896193771626</v>
      </c>
      <c r="P20" s="98">
        <f>муниц!P19</f>
        <v>0</v>
      </c>
      <c r="Q20" s="98">
        <f>муниц!Q19</f>
        <v>0</v>
      </c>
      <c r="R20" s="98">
        <f>муниц!R19</f>
        <v>0.7</v>
      </c>
      <c r="S20" s="26"/>
    </row>
    <row r="21" spans="1:19" ht="18">
      <c r="A21" s="9" t="s">
        <v>80</v>
      </c>
      <c r="B21" s="18">
        <v>1060000000</v>
      </c>
      <c r="C21" s="104">
        <f aca="true" t="shared" si="7" ref="C21:H21">C22+C23+C24</f>
        <v>7705</v>
      </c>
      <c r="D21" s="104">
        <f t="shared" si="7"/>
        <v>0</v>
      </c>
      <c r="E21" s="104">
        <f t="shared" si="7"/>
        <v>7705</v>
      </c>
      <c r="F21" s="104">
        <f t="shared" si="7"/>
        <v>1983</v>
      </c>
      <c r="G21" s="104">
        <f t="shared" si="7"/>
        <v>3061.5</v>
      </c>
      <c r="H21" s="104">
        <f t="shared" si="7"/>
        <v>3107.2000000000003</v>
      </c>
      <c r="I21" s="97">
        <f t="shared" si="1"/>
        <v>0.40327060350421806</v>
      </c>
      <c r="J21" s="97">
        <f t="shared" si="2"/>
        <v>1.5669188098840143</v>
      </c>
      <c r="K21" s="104">
        <f>K22+K23+K24</f>
        <v>3130.1</v>
      </c>
      <c r="L21" s="97">
        <f t="shared" si="3"/>
        <v>0.9926839398102298</v>
      </c>
      <c r="M21" s="104">
        <f>M22+M23+M24</f>
        <v>45.7</v>
      </c>
      <c r="N21" s="104">
        <f>N22+N23+N24</f>
        <v>22.7</v>
      </c>
      <c r="O21" s="97">
        <f t="shared" si="4"/>
        <v>2.0132158590308373</v>
      </c>
      <c r="P21" s="96">
        <f>P22+P23+P24</f>
        <v>550</v>
      </c>
      <c r="Q21" s="104">
        <f>Q22+Q23+Q24</f>
        <v>379.29999999999995</v>
      </c>
      <c r="R21" s="104">
        <f>R22+R23+R24</f>
        <v>356.9</v>
      </c>
      <c r="S21" s="26"/>
    </row>
    <row r="22" spans="1:19" ht="18">
      <c r="A22" s="13" t="s">
        <v>16</v>
      </c>
      <c r="B22" s="13">
        <v>1060103003</v>
      </c>
      <c r="C22" s="98">
        <f>'Лен '!C21+Высокор!C21+Гост!C21+Новотр!C21+Черн!C21</f>
        <v>962</v>
      </c>
      <c r="D22" s="98">
        <f>'Лен '!D21+Высокор!D21+Гост!D21+Новотр!D21+Черн!D21</f>
        <v>0</v>
      </c>
      <c r="E22" s="102">
        <f>C22+D22</f>
        <v>962</v>
      </c>
      <c r="F22" s="98">
        <f>'Лен '!F21+Высокор!F21+Гост!F21+Новотр!F21+Черн!F21</f>
        <v>0</v>
      </c>
      <c r="G22" s="100">
        <f>'Лен '!G21+Высокор!G21+Гост!G21+Новотр!G21+Черн!G21</f>
        <v>53.2</v>
      </c>
      <c r="H22" s="100">
        <f>G22+M22</f>
        <v>62.800000000000004</v>
      </c>
      <c r="I22" s="101">
        <f>IF(E22&gt;0,H22/E22,0)</f>
        <v>0.06528066528066528</v>
      </c>
      <c r="J22" s="101">
        <f>IF(F22&gt;0,H22/F22,0)</f>
        <v>0</v>
      </c>
      <c r="K22" s="100">
        <f>'Лен '!K21+Высокор!K21+Гост!K21+Новотр!K21+Черн!K21</f>
        <v>66.4</v>
      </c>
      <c r="L22" s="101">
        <f>IF(K22&gt;0,H22/K22,0)</f>
        <v>0.9457831325301205</v>
      </c>
      <c r="M22" s="100">
        <f>'Лен '!M21+Высокор!M21+Гост!M21+Новотр!M21+Черн!M21</f>
        <v>9.6</v>
      </c>
      <c r="N22" s="100">
        <f>'Лен '!N21+Высокор!N21+Гост!N21+Новотр!N21+Черн!N21</f>
        <v>6.7</v>
      </c>
      <c r="O22" s="101">
        <f>IF(N22&gt;0,M22/N22,0)</f>
        <v>1.4328358208955223</v>
      </c>
      <c r="P22" s="100">
        <f>'Лен '!P21+Высокор!P21+Гост!P21+Новотр!P21+Черн!P21</f>
        <v>279.09999999999997</v>
      </c>
      <c r="Q22" s="100">
        <f>'Лен '!Q21+Высокор!Q21+Гост!Q21+Новотр!Q21+Черн!Q21</f>
        <v>180.79999999999998</v>
      </c>
      <c r="R22" s="100">
        <f>'Лен '!R21+Высокор!R21+Гост!R21+Новотр!R21+Черн!R21</f>
        <v>162.99999999999997</v>
      </c>
      <c r="S22" s="26"/>
    </row>
    <row r="23" spans="1:19" ht="18">
      <c r="A23" s="13" t="s">
        <v>19</v>
      </c>
      <c r="B23" s="13">
        <v>1060201002</v>
      </c>
      <c r="C23" s="98">
        <f>муниц!C20</f>
        <v>5263</v>
      </c>
      <c r="D23" s="98">
        <f>муниц!D20</f>
        <v>0</v>
      </c>
      <c r="E23" s="102">
        <f>C23+D23</f>
        <v>5263</v>
      </c>
      <c r="F23" s="98">
        <f>муниц!F20</f>
        <v>1983</v>
      </c>
      <c r="G23" s="98">
        <f>муниц!G20</f>
        <v>2703.9</v>
      </c>
      <c r="H23" s="100">
        <f>G23+M23</f>
        <v>2722.8</v>
      </c>
      <c r="I23" s="101">
        <f t="shared" si="1"/>
        <v>0.5173475204256128</v>
      </c>
      <c r="J23" s="101">
        <f t="shared" si="2"/>
        <v>1.373071104387292</v>
      </c>
      <c r="K23" s="98">
        <f>муниц!K20</f>
        <v>2609.5</v>
      </c>
      <c r="L23" s="101">
        <f t="shared" si="3"/>
        <v>1.0434182793638629</v>
      </c>
      <c r="M23" s="98">
        <f>муниц!M20</f>
        <v>18.9</v>
      </c>
      <c r="N23" s="98">
        <f>муниц!N20</f>
        <v>-0.5</v>
      </c>
      <c r="O23" s="101">
        <f t="shared" si="4"/>
        <v>0</v>
      </c>
      <c r="P23" s="98">
        <f>муниц!P20</f>
        <v>0</v>
      </c>
      <c r="Q23" s="98">
        <f>муниц!Q20</f>
        <v>0</v>
      </c>
      <c r="R23" s="98">
        <f>муниц!R20</f>
        <v>0</v>
      </c>
      <c r="S23" s="26"/>
    </row>
    <row r="24" spans="1:19" ht="18">
      <c r="A24" s="13" t="s">
        <v>15</v>
      </c>
      <c r="B24" s="13">
        <v>1060600000</v>
      </c>
      <c r="C24" s="98">
        <f>'Лен '!C18+Высокор!C18+Гост!C18+Новотр!C18+Черн!C18</f>
        <v>1480</v>
      </c>
      <c r="D24" s="98">
        <f>'Лен '!D18+Высокор!D18+Гост!D18+Новотр!D18+Черн!D18</f>
        <v>0</v>
      </c>
      <c r="E24" s="99">
        <f>C24+D24</f>
        <v>1480</v>
      </c>
      <c r="F24" s="98">
        <f>'Лен '!F18+Высокор!F18+Гост!F18+Новотр!F18+Черн!F18</f>
        <v>0</v>
      </c>
      <c r="G24" s="100">
        <f>'Лен '!G18+Высокор!G18+Гост!G18+Новотр!G18+Черн!G18</f>
        <v>304.4</v>
      </c>
      <c r="H24" s="100">
        <f>G24+M24</f>
        <v>321.59999999999997</v>
      </c>
      <c r="I24" s="101">
        <f t="shared" si="1"/>
        <v>0.21729729729729727</v>
      </c>
      <c r="J24" s="101">
        <f t="shared" si="2"/>
        <v>0</v>
      </c>
      <c r="K24" s="100">
        <f>'Лен '!K18+Высокор!K18+Гост!K18+Новотр!K18+Черн!K18</f>
        <v>454.2</v>
      </c>
      <c r="L24" s="101">
        <f t="shared" si="3"/>
        <v>0.7080581241743724</v>
      </c>
      <c r="M24" s="100">
        <f>'Лен '!M18+Высокор!M18+Гост!M18+Новотр!M18+Черн!M18</f>
        <v>17.200000000000003</v>
      </c>
      <c r="N24" s="100">
        <f>'Лен '!N18+Высокор!N18+Гост!N18+Новотр!N18+Черн!N18</f>
        <v>16.5</v>
      </c>
      <c r="O24" s="101">
        <f t="shared" si="4"/>
        <v>1.0424242424242427</v>
      </c>
      <c r="P24" s="100">
        <f>'Лен '!P18+Высокор!P18+Гост!P18+Новотр!P18+Черн!P18</f>
        <v>270.90000000000003</v>
      </c>
      <c r="Q24" s="100">
        <f>'Лен '!Q18+Высокор!Q18+Гост!Q18+Новотр!Q18+Черн!Q18</f>
        <v>198.5</v>
      </c>
      <c r="R24" s="100">
        <f>'Лен '!R18+Высокор!R18+Гост!R18+Новотр!R18+Черн!R18</f>
        <v>193.89999999999998</v>
      </c>
      <c r="S24" s="26"/>
    </row>
    <row r="25" spans="1:19" ht="18">
      <c r="A25" s="9" t="s">
        <v>83</v>
      </c>
      <c r="B25" s="18">
        <v>1080000000</v>
      </c>
      <c r="C25" s="103">
        <f>муниц!C21+Высокор!C22+Гост!C22+Новотр!C22+Черн!C22</f>
        <v>611</v>
      </c>
      <c r="D25" s="103">
        <f>муниц!D21+Высокор!D22+Гост!D22+Новотр!D22+Черн!D22</f>
        <v>0</v>
      </c>
      <c r="E25" s="105">
        <f>C25+D25</f>
        <v>611</v>
      </c>
      <c r="F25" s="103">
        <f>муниц!F21+Высокор!F22+Гост!F22+Новотр!F22+Черн!F22</f>
        <v>289</v>
      </c>
      <c r="G25" s="103">
        <f>муниц!G21+Высокор!G22+Гост!G22+Новотр!G22+Черн!G22</f>
        <v>273.59999999999997</v>
      </c>
      <c r="H25" s="96">
        <f>G25+M25</f>
        <v>341.5</v>
      </c>
      <c r="I25" s="97">
        <f t="shared" si="1"/>
        <v>0.5589198036006546</v>
      </c>
      <c r="J25" s="97">
        <f t="shared" si="2"/>
        <v>1.1816608996539792</v>
      </c>
      <c r="K25" s="103">
        <f>муниц!K21+Высокор!K22+Гост!K22+Новотр!K22+Черн!K22</f>
        <v>302.19999999999993</v>
      </c>
      <c r="L25" s="97">
        <f t="shared" si="3"/>
        <v>1.1300463269358043</v>
      </c>
      <c r="M25" s="103">
        <f>муниц!M21+Высокор!M22+Гост!M22+Новотр!M22+Черн!M22</f>
        <v>67.9</v>
      </c>
      <c r="N25" s="103">
        <f>муниц!N21+Высокор!N22+Гост!N22+Новотр!N22+Черн!N22</f>
        <v>62.1</v>
      </c>
      <c r="O25" s="97">
        <f t="shared" si="4"/>
        <v>1.0933977455716586</v>
      </c>
      <c r="P25" s="106"/>
      <c r="Q25" s="106"/>
      <c r="R25" s="106"/>
      <c r="S25" s="26"/>
    </row>
    <row r="26" spans="1:19" ht="18" hidden="1">
      <c r="A26" s="9" t="s">
        <v>84</v>
      </c>
      <c r="B26" s="18">
        <v>1090000000</v>
      </c>
      <c r="C26" s="103">
        <f>муниц!C22+'Лен '!C22+Высокор!C23+Гост!C23+Новотр!C23+Черн!C23</f>
        <v>0</v>
      </c>
      <c r="D26" s="103">
        <f>муниц!D22+'Лен '!D22+Высокор!D23+Гост!D23+Новотр!D23+Черн!D23</f>
        <v>0</v>
      </c>
      <c r="E26" s="105">
        <f>C26+D26</f>
        <v>0</v>
      </c>
      <c r="F26" s="103">
        <f>муниц!F22+'Лен '!F22+Высокор!F23+Гост!F23+Новотр!F23+Черн!F23</f>
        <v>0</v>
      </c>
      <c r="G26" s="103">
        <f>муниц!G22+'Лен '!G22+Высокор!G23+Гост!G23+Новотр!G23+Черн!G23</f>
        <v>0</v>
      </c>
      <c r="H26" s="96">
        <f>G26+M26</f>
        <v>0</v>
      </c>
      <c r="I26" s="97">
        <f t="shared" si="1"/>
        <v>0</v>
      </c>
      <c r="J26" s="97">
        <f t="shared" si="2"/>
        <v>0</v>
      </c>
      <c r="K26" s="103">
        <f>муниц!K22+'Лен '!K22+Высокор!K23+Гост!K23+Новотр!K23+Черн!K23</f>
        <v>0</v>
      </c>
      <c r="L26" s="97">
        <f t="shared" si="3"/>
        <v>0</v>
      </c>
      <c r="M26" s="103">
        <f>муниц!M22+'Лен '!M22+Высокор!M23+Гост!M23+Новотр!M23+Черн!M23</f>
        <v>0</v>
      </c>
      <c r="N26" s="103">
        <f>муниц!N22+'Лен '!N22+Высокор!N23+Гост!N23+Новотр!N23+Черн!N23</f>
        <v>0</v>
      </c>
      <c r="O26" s="97">
        <f t="shared" si="4"/>
        <v>0</v>
      </c>
      <c r="P26" s="103">
        <f>муниц!P22+'Лен '!P22+Высокор!P23+Гост!P23+Новотр!P23+Черн!P23</f>
        <v>0</v>
      </c>
      <c r="Q26" s="103">
        <f>муниц!Q22+'Лен '!Q22+Высокор!Q23+Гост!Q23+Новотр!Q23+Черн!Q23</f>
        <v>0</v>
      </c>
      <c r="R26" s="103">
        <f>муниц!R22+'Лен '!R22+Высокор!R23+Гост!R23+Новотр!R23+Черн!R23</f>
        <v>0</v>
      </c>
      <c r="S26" s="26"/>
    </row>
    <row r="27" spans="1:19" ht="18">
      <c r="A27" s="14" t="s">
        <v>22</v>
      </c>
      <c r="B27" s="20"/>
      <c r="C27" s="107">
        <f aca="true" t="shared" si="8" ref="C27:H27">C28+C34+C35+C39+C42+C43</f>
        <v>14329.899999999998</v>
      </c>
      <c r="D27" s="108">
        <f t="shared" si="8"/>
        <v>17093.533</v>
      </c>
      <c r="E27" s="108">
        <f t="shared" si="8"/>
        <v>31423.433</v>
      </c>
      <c r="F27" s="108">
        <f t="shared" si="8"/>
        <v>7948.7</v>
      </c>
      <c r="G27" s="108">
        <f t="shared" si="8"/>
        <v>5795.2</v>
      </c>
      <c r="H27" s="108">
        <f t="shared" si="8"/>
        <v>6697.099999999999</v>
      </c>
      <c r="I27" s="95">
        <f t="shared" si="1"/>
        <v>0.2131243903236161</v>
      </c>
      <c r="J27" s="95">
        <f t="shared" si="2"/>
        <v>0.8425402896071055</v>
      </c>
      <c r="K27" s="108">
        <f>K28+K34+K35+K39+K42+K43</f>
        <v>10458.099999999999</v>
      </c>
      <c r="L27" s="95">
        <f t="shared" si="3"/>
        <v>0.6403744466011991</v>
      </c>
      <c r="M27" s="108">
        <f>M28+M34+M35+M39+M42+M43</f>
        <v>901.9</v>
      </c>
      <c r="N27" s="108">
        <f>N28+N34+N35+N39+N42+N43</f>
        <v>1186.4</v>
      </c>
      <c r="O27" s="95">
        <f t="shared" si="4"/>
        <v>0.7601989211058664</v>
      </c>
      <c r="P27" s="108">
        <f>P28+P34+P35+P39+P42+P43</f>
        <v>741.5999999999999</v>
      </c>
      <c r="Q27" s="108">
        <f>Q28+Q34+Q35+Q39+Q42+Q43</f>
        <v>939.5999999999999</v>
      </c>
      <c r="R27" s="108">
        <f>R28+R34+R35+R39+R42+R43</f>
        <v>781</v>
      </c>
      <c r="S27" s="26"/>
    </row>
    <row r="28" spans="1:19" ht="18">
      <c r="A28" s="9" t="s">
        <v>85</v>
      </c>
      <c r="B28" s="18">
        <v>1110000000</v>
      </c>
      <c r="C28" s="103">
        <f aca="true" t="shared" si="9" ref="C28:H28">SUM(C29:C33)</f>
        <v>4369.7</v>
      </c>
      <c r="D28" s="103">
        <f t="shared" si="9"/>
        <v>1000.623</v>
      </c>
      <c r="E28" s="103">
        <f t="shared" si="9"/>
        <v>5370.323</v>
      </c>
      <c r="F28" s="103">
        <f t="shared" si="9"/>
        <v>2087.3</v>
      </c>
      <c r="G28" s="103">
        <f t="shared" si="9"/>
        <v>1804.1</v>
      </c>
      <c r="H28" s="103">
        <f t="shared" si="9"/>
        <v>2261.9</v>
      </c>
      <c r="I28" s="97">
        <f t="shared" si="1"/>
        <v>0.4211850944533504</v>
      </c>
      <c r="J28" s="97">
        <f t="shared" si="2"/>
        <v>1.0836487328127244</v>
      </c>
      <c r="K28" s="103">
        <f>SUM(K29:K33)</f>
        <v>2072.2</v>
      </c>
      <c r="L28" s="97">
        <f t="shared" si="3"/>
        <v>1.0915452176430849</v>
      </c>
      <c r="M28" s="103">
        <f>SUM(M29:M33)</f>
        <v>457.79999999999995</v>
      </c>
      <c r="N28" s="103">
        <f>SUM(N29:N33)</f>
        <v>530</v>
      </c>
      <c r="O28" s="97">
        <f t="shared" si="4"/>
        <v>0.8637735849056603</v>
      </c>
      <c r="P28" s="103">
        <f>SUM(P29:P33)</f>
        <v>741.5999999999999</v>
      </c>
      <c r="Q28" s="103">
        <f>SUM(Q29:Q33)</f>
        <v>939.5999999999999</v>
      </c>
      <c r="R28" s="103">
        <f>SUM(R29:R33)</f>
        <v>781</v>
      </c>
      <c r="S28" s="26"/>
    </row>
    <row r="29" spans="1:19" ht="0.75" customHeight="1">
      <c r="A29" s="13" t="s">
        <v>20</v>
      </c>
      <c r="B29" s="13">
        <v>1110105005</v>
      </c>
      <c r="C29" s="98">
        <f>муниц!C25</f>
        <v>0</v>
      </c>
      <c r="D29" s="98">
        <f>муниц!D25</f>
        <v>0</v>
      </c>
      <c r="E29" s="102">
        <f aca="true" t="shared" si="10" ref="E29:E42">C29+D29</f>
        <v>0</v>
      </c>
      <c r="F29" s="98">
        <f>муниц!F25</f>
        <v>0</v>
      </c>
      <c r="G29" s="98">
        <f>муниц!G25</f>
        <v>0</v>
      </c>
      <c r="H29" s="100">
        <f aca="true" t="shared" si="11" ref="H29:H34">G29+M29</f>
        <v>0</v>
      </c>
      <c r="I29" s="101">
        <f t="shared" si="1"/>
        <v>0</v>
      </c>
      <c r="J29" s="101">
        <f t="shared" si="2"/>
        <v>0</v>
      </c>
      <c r="K29" s="98">
        <f>муниц!K25</f>
        <v>0</v>
      </c>
      <c r="L29" s="101">
        <f t="shared" si="3"/>
        <v>0</v>
      </c>
      <c r="M29" s="98">
        <f>муниц!M25</f>
        <v>0</v>
      </c>
      <c r="N29" s="98">
        <f>муниц!N25</f>
        <v>0</v>
      </c>
      <c r="O29" s="101">
        <f t="shared" si="4"/>
        <v>0</v>
      </c>
      <c r="P29" s="98"/>
      <c r="Q29" s="98"/>
      <c r="R29" s="98"/>
      <c r="S29" s="26"/>
    </row>
    <row r="30" spans="1:19" ht="18">
      <c r="A30" s="13" t="s">
        <v>1</v>
      </c>
      <c r="B30" s="13">
        <v>1110501013</v>
      </c>
      <c r="C30" s="98">
        <f>муниц!C26+муниц!C27+'Лен '!C25+Высокор!C26+Гост!C26+Новотр!C26+Черн!C26+'Лен '!C26</f>
        <v>2645.7</v>
      </c>
      <c r="D30" s="98">
        <f>муниц!D26+муниц!D27+'Лен '!D25+Высокор!D26+Гост!D26+Новотр!D26+Черн!D26+'Лен '!D26</f>
        <v>200</v>
      </c>
      <c r="E30" s="102">
        <f t="shared" si="10"/>
        <v>2845.7</v>
      </c>
      <c r="F30" s="98">
        <f>муниц!F26+муниц!F27+'Лен '!F25+Высокор!F26+Гост!F26+Новотр!F26+Черн!F26</f>
        <v>900</v>
      </c>
      <c r="G30" s="98">
        <f>муниц!G26+муниц!G27+'Лен '!G25+'Лен '!G26+Высокор!G26+Гост!G26+Новотр!G26+Черн!G26</f>
        <v>971.8000000000001</v>
      </c>
      <c r="H30" s="100">
        <f t="shared" si="11"/>
        <v>1283.3000000000002</v>
      </c>
      <c r="I30" s="101">
        <f t="shared" si="1"/>
        <v>0.4509610992023053</v>
      </c>
      <c r="J30" s="101">
        <f t="shared" si="2"/>
        <v>1.425888888888889</v>
      </c>
      <c r="K30" s="98">
        <f>муниц!K26+муниц!K27+'Лен '!K25+Высокор!K26+Гост!K26+Новотр!K26+Черн!K26+'Лен '!K26</f>
        <v>1163.3999999999999</v>
      </c>
      <c r="L30" s="101">
        <f t="shared" si="3"/>
        <v>1.103059996561802</v>
      </c>
      <c r="M30" s="98">
        <f>муниц!M26+муниц!M27+'Лен '!M25+'Лен '!M26+Новотр!M26</f>
        <v>311.5</v>
      </c>
      <c r="N30" s="98">
        <f>муниц!N26+муниц!N27+'Лен '!N25+Высокор!N26+Гост!N26+Новотр!N26+Черн!N26+'Лен '!N26</f>
        <v>355.6</v>
      </c>
      <c r="O30" s="101">
        <f t="shared" si="4"/>
        <v>0.8759842519685039</v>
      </c>
      <c r="P30" s="98">
        <f>муниц!P26+муниц!P27+'Лен '!P25+Высокор!P26+Гост!P26+Новотр!P26+Черн!P26</f>
        <v>371.3</v>
      </c>
      <c r="Q30" s="98">
        <f>муниц!Q26+муниц!Q27+'Лен '!Q25+Высокор!Q26+Гост!Q26+Новотр!Q26+Черн!Q26</f>
        <v>524.8</v>
      </c>
      <c r="R30" s="98">
        <f>муниц!R26+муниц!R27+'Лен '!R25+Высокор!R26+Гост!R26+Новотр!R26+Черн!R26</f>
        <v>357.2</v>
      </c>
      <c r="S30" s="26"/>
    </row>
    <row r="31" spans="1:19" ht="18">
      <c r="A31" s="13" t="s">
        <v>17</v>
      </c>
      <c r="B31" s="13">
        <v>1110503510</v>
      </c>
      <c r="C31" s="98">
        <f>муниц!C28</f>
        <v>688</v>
      </c>
      <c r="D31" s="98">
        <f>муниц!D28</f>
        <v>0</v>
      </c>
      <c r="E31" s="102">
        <f t="shared" si="10"/>
        <v>688</v>
      </c>
      <c r="F31" s="98">
        <f>муниц!F28</f>
        <v>1187.3</v>
      </c>
      <c r="G31" s="98">
        <f>муниц!G28</f>
        <v>407.2</v>
      </c>
      <c r="H31" s="100">
        <f t="shared" si="11"/>
        <v>463.59999999999997</v>
      </c>
      <c r="I31" s="101">
        <f t="shared" si="1"/>
        <v>0.6738372093023255</v>
      </c>
      <c r="J31" s="101">
        <f t="shared" si="2"/>
        <v>0.3904657626547629</v>
      </c>
      <c r="K31" s="98">
        <f>муниц!K28</f>
        <v>472.7</v>
      </c>
      <c r="L31" s="101">
        <f t="shared" si="3"/>
        <v>0.9807488893590014</v>
      </c>
      <c r="M31" s="98">
        <f>муниц!M28</f>
        <v>56.4</v>
      </c>
      <c r="N31" s="98">
        <f>муниц!N28</f>
        <v>81.9</v>
      </c>
      <c r="O31" s="101">
        <f t="shared" si="4"/>
        <v>0.6886446886446885</v>
      </c>
      <c r="P31" s="98">
        <f>муниц!P28+Новотр!P27</f>
        <v>321.5</v>
      </c>
      <c r="Q31" s="98">
        <f>муниц!Q28</f>
        <v>366</v>
      </c>
      <c r="R31" s="98">
        <f>муниц!R28</f>
        <v>375</v>
      </c>
      <c r="S31" s="26"/>
    </row>
    <row r="32" spans="1:19" ht="18">
      <c r="A32" s="13" t="s">
        <v>112</v>
      </c>
      <c r="B32" s="13">
        <v>1110507500</v>
      </c>
      <c r="C32" s="98">
        <f>'Лен '!C27+муниц!C29</f>
        <v>321.4</v>
      </c>
      <c r="D32" s="98">
        <f>'Лен '!D27+муниц!D29</f>
        <v>0</v>
      </c>
      <c r="E32" s="99">
        <f t="shared" si="10"/>
        <v>321.4</v>
      </c>
      <c r="F32" s="98">
        <f>'Лен '!F29+Гост!F27</f>
        <v>0</v>
      </c>
      <c r="G32" s="98">
        <f>'Лен '!G27+муниц!G29</f>
        <v>147.60000000000002</v>
      </c>
      <c r="H32" s="100">
        <f t="shared" si="11"/>
        <v>176.3</v>
      </c>
      <c r="I32" s="101">
        <f t="shared" si="1"/>
        <v>0.5485376477909149</v>
      </c>
      <c r="J32" s="101">
        <f t="shared" si="2"/>
        <v>0</v>
      </c>
      <c r="K32" s="98">
        <f>'Лен '!K27+муниц!K29</f>
        <v>130.8</v>
      </c>
      <c r="L32" s="101">
        <f t="shared" si="3"/>
        <v>1.3478593272171253</v>
      </c>
      <c r="M32" s="98">
        <f>'Лен '!M27+муниц!M29</f>
        <v>28.7</v>
      </c>
      <c r="N32" s="98">
        <f>'Лен '!N27+муниц!N29</f>
        <v>40.7</v>
      </c>
      <c r="O32" s="101">
        <f t="shared" si="4"/>
        <v>0.705159705159705</v>
      </c>
      <c r="P32" s="109"/>
      <c r="Q32" s="109"/>
      <c r="R32" s="109"/>
      <c r="S32" s="26"/>
    </row>
    <row r="33" spans="1:19" ht="18">
      <c r="A33" s="13" t="s">
        <v>23</v>
      </c>
      <c r="B33" s="13">
        <v>1110904505</v>
      </c>
      <c r="C33" s="98">
        <f>муниц!C30+'Лен '!C28+Высокор!C27+Гост!C28+Новотр!C27+Черн!C27</f>
        <v>714.6</v>
      </c>
      <c r="D33" s="98">
        <f>муниц!D30+'Лен '!D28+Высокор!D27+Гост!D28+Новотр!D27+Черн!D27</f>
        <v>800.623</v>
      </c>
      <c r="E33" s="119">
        <f t="shared" si="10"/>
        <v>1515.223</v>
      </c>
      <c r="F33" s="98">
        <f>муниц!F30+'Лен '!F28+Высокор!F27+Гост!F28+Новотр!F27+Черн!F27</f>
        <v>0</v>
      </c>
      <c r="G33" s="98">
        <f>муниц!G30+'Лен '!G28+Высокор!G27+Гост!G28+Новотр!G27+Черн!G27</f>
        <v>277.5</v>
      </c>
      <c r="H33" s="100">
        <f t="shared" si="11"/>
        <v>338.7</v>
      </c>
      <c r="I33" s="101">
        <f t="shared" si="1"/>
        <v>0.2235314537860104</v>
      </c>
      <c r="J33" s="101">
        <f t="shared" si="2"/>
        <v>0</v>
      </c>
      <c r="K33" s="98">
        <f>муниц!K30+'Лен '!K28+Высокор!K27+Гост!K28+Новотр!K27+Черн!K27</f>
        <v>305.30000000000007</v>
      </c>
      <c r="L33" s="101">
        <f t="shared" si="3"/>
        <v>1.1094005895840153</v>
      </c>
      <c r="M33" s="98">
        <f>муниц!M30+'Лен '!M28+Высокор!M27+Гост!M28+Новотр!M27+Черн!M27</f>
        <v>61.199999999999996</v>
      </c>
      <c r="N33" s="98">
        <f>муниц!N30+'Лен '!N28+Высокор!N27+Гост!N28+Новотр!N27+Черн!N27</f>
        <v>51.800000000000004</v>
      </c>
      <c r="O33" s="101">
        <f t="shared" si="4"/>
        <v>1.1814671814671813</v>
      </c>
      <c r="P33" s="109">
        <f>'Лен '!P28</f>
        <v>48.8</v>
      </c>
      <c r="Q33" s="109">
        <f>'Лен '!Q28</f>
        <v>48.8</v>
      </c>
      <c r="R33" s="109">
        <f>'Лен '!R28</f>
        <v>48.8</v>
      </c>
      <c r="S33" s="26"/>
    </row>
    <row r="34" spans="1:19" ht="18">
      <c r="A34" s="9" t="s">
        <v>81</v>
      </c>
      <c r="B34" s="18">
        <v>1120000000</v>
      </c>
      <c r="C34" s="103">
        <f>муниц!C31</f>
        <v>17.4</v>
      </c>
      <c r="D34" s="103">
        <f>муниц!D31</f>
        <v>0</v>
      </c>
      <c r="E34" s="105">
        <f t="shared" si="10"/>
        <v>17.4</v>
      </c>
      <c r="F34" s="103">
        <f>муниц!F31</f>
        <v>75</v>
      </c>
      <c r="G34" s="103">
        <f>муниц!G31</f>
        <v>22.1</v>
      </c>
      <c r="H34" s="96">
        <f t="shared" si="11"/>
        <v>22.1</v>
      </c>
      <c r="I34" s="97">
        <f t="shared" si="1"/>
        <v>1.270114942528736</v>
      </c>
      <c r="J34" s="97">
        <f t="shared" si="2"/>
        <v>0.2946666666666667</v>
      </c>
      <c r="K34" s="103">
        <f>муниц!K31</f>
        <v>16.3</v>
      </c>
      <c r="L34" s="97">
        <f t="shared" si="3"/>
        <v>1.3558282208588956</v>
      </c>
      <c r="M34" s="103">
        <f>муниц!M31</f>
        <v>0</v>
      </c>
      <c r="N34" s="103">
        <f>муниц!N31</f>
        <v>0.2</v>
      </c>
      <c r="O34" s="97">
        <f t="shared" si="4"/>
        <v>0</v>
      </c>
      <c r="P34" s="96"/>
      <c r="Q34" s="106"/>
      <c r="R34" s="106"/>
      <c r="S34" s="26"/>
    </row>
    <row r="35" spans="1:19" ht="18">
      <c r="A35" s="9" t="s">
        <v>66</v>
      </c>
      <c r="B35" s="18">
        <v>1130000000</v>
      </c>
      <c r="C35" s="103">
        <f aca="true" t="shared" si="12" ref="C35:H35">SUM(C36:C38)</f>
        <v>9780</v>
      </c>
      <c r="D35" s="103">
        <f t="shared" si="12"/>
        <v>2432.91</v>
      </c>
      <c r="E35" s="104">
        <f t="shared" si="12"/>
        <v>12212.91</v>
      </c>
      <c r="F35" s="103">
        <f t="shared" si="12"/>
        <v>5703.4</v>
      </c>
      <c r="G35" s="103">
        <f t="shared" si="12"/>
        <v>3671</v>
      </c>
      <c r="H35" s="103">
        <f t="shared" si="12"/>
        <v>4102.299999999999</v>
      </c>
      <c r="I35" s="97">
        <f t="shared" si="1"/>
        <v>0.335898651508936</v>
      </c>
      <c r="J35" s="97">
        <f t="shared" si="2"/>
        <v>0.7192727145211627</v>
      </c>
      <c r="K35" s="103">
        <f>SUM(K36:K38)</f>
        <v>5635.9</v>
      </c>
      <c r="L35" s="97">
        <f t="shared" si="3"/>
        <v>0.7278872939548252</v>
      </c>
      <c r="M35" s="103">
        <f>SUM(M36:M38)</f>
        <v>431.29999999999995</v>
      </c>
      <c r="N35" s="103">
        <f>SUM(N36:N38)</f>
        <v>604.7</v>
      </c>
      <c r="O35" s="97">
        <f t="shared" si="4"/>
        <v>0.7132462378038695</v>
      </c>
      <c r="P35" s="103">
        <f>SUM(P36:P38)</f>
        <v>0</v>
      </c>
      <c r="Q35" s="103">
        <f>SUM(Q36:Q38)</f>
        <v>0</v>
      </c>
      <c r="R35" s="103">
        <f>SUM(R36:R38)</f>
        <v>0</v>
      </c>
      <c r="S35" s="26"/>
    </row>
    <row r="36" spans="1:19" ht="18">
      <c r="A36" s="15" t="s">
        <v>34</v>
      </c>
      <c r="B36" s="22">
        <v>1130199500</v>
      </c>
      <c r="C36" s="110">
        <f>муниц!C33</f>
        <v>8400</v>
      </c>
      <c r="D36" s="110">
        <f>муниц!D33</f>
        <v>0</v>
      </c>
      <c r="E36" s="102">
        <f t="shared" si="10"/>
        <v>8400</v>
      </c>
      <c r="F36" s="110">
        <f>муниц!F33</f>
        <v>5203.4</v>
      </c>
      <c r="G36" s="110">
        <f>муниц!G33</f>
        <v>1963.9</v>
      </c>
      <c r="H36" s="100">
        <f>G36+M36</f>
        <v>2101</v>
      </c>
      <c r="I36" s="101">
        <f>IF(E36&gt;0,H36/E36,0)</f>
        <v>0.25011904761904763</v>
      </c>
      <c r="J36" s="101">
        <f>IF(F36&gt;0,H36/F36,0)</f>
        <v>0.4037744551639313</v>
      </c>
      <c r="K36" s="110">
        <f>муниц!K33</f>
        <v>4172.2</v>
      </c>
      <c r="L36" s="101">
        <f t="shared" si="3"/>
        <v>0.5035712573702124</v>
      </c>
      <c r="M36" s="110">
        <f>муниц!M33</f>
        <v>137.1</v>
      </c>
      <c r="N36" s="110">
        <f>муниц!N33</f>
        <v>395.5</v>
      </c>
      <c r="O36" s="101">
        <f t="shared" si="4"/>
        <v>0.3466498103666245</v>
      </c>
      <c r="P36" s="111"/>
      <c r="Q36" s="112"/>
      <c r="R36" s="112"/>
      <c r="S36" s="26"/>
    </row>
    <row r="37" spans="1:19" ht="18">
      <c r="A37" s="15" t="s">
        <v>35</v>
      </c>
      <c r="B37" s="22">
        <v>1130206500</v>
      </c>
      <c r="C37" s="110">
        <f>муниц!C34+'Лен '!C31</f>
        <v>520</v>
      </c>
      <c r="D37" s="110">
        <f>муниц!D34+'Лен '!D31</f>
        <v>0</v>
      </c>
      <c r="E37" s="119">
        <f t="shared" si="10"/>
        <v>520</v>
      </c>
      <c r="F37" s="110">
        <f>муниц!F34</f>
        <v>500</v>
      </c>
      <c r="G37" s="110">
        <f>муниц!G34+'Лен '!G31</f>
        <v>125</v>
      </c>
      <c r="H37" s="100">
        <f>G37+M37</f>
        <v>141.2</v>
      </c>
      <c r="I37" s="101">
        <f>IF(E37&gt;0,H37/E37,0)</f>
        <v>0.2715384615384615</v>
      </c>
      <c r="J37" s="101">
        <f>IF(F37&gt;0,H37/F37,0)</f>
        <v>0.2824</v>
      </c>
      <c r="K37" s="110">
        <f>муниц!K34+'Лен '!K31</f>
        <v>321.9</v>
      </c>
      <c r="L37" s="101">
        <f t="shared" si="3"/>
        <v>0.43864554209381795</v>
      </c>
      <c r="M37" s="110">
        <f>муниц!M34+'Лен '!M31</f>
        <v>16.2</v>
      </c>
      <c r="N37" s="110">
        <f>муниц!N34+'Лен '!N31</f>
        <v>74.6</v>
      </c>
      <c r="O37" s="101">
        <f t="shared" si="4"/>
        <v>0.21715817694369974</v>
      </c>
      <c r="P37" s="111"/>
      <c r="Q37" s="112"/>
      <c r="R37" s="112"/>
      <c r="S37" s="26"/>
    </row>
    <row r="38" spans="1:19" ht="18">
      <c r="A38" s="15" t="s">
        <v>38</v>
      </c>
      <c r="B38" s="22">
        <v>1130299510</v>
      </c>
      <c r="C38" s="110">
        <f>муниц!C35+'Лен '!C32+Высокор!C28+Гост!C29+Новотр!C28+Черн!C28</f>
        <v>860</v>
      </c>
      <c r="D38" s="156">
        <f>муниц!D35+'Лен '!D32+Высокор!D28+Гост!D29+Новотр!D28+Черн!D28</f>
        <v>2432.91</v>
      </c>
      <c r="E38" s="119">
        <f t="shared" si="10"/>
        <v>3292.91</v>
      </c>
      <c r="F38" s="110">
        <f>муниц!F35+'Лен '!F32+Высокор!F28+Гост!F29+Новотр!F28+Черн!F28</f>
        <v>0</v>
      </c>
      <c r="G38" s="110">
        <f>муниц!G35+'Лен '!G32+Высокор!G28+Гост!G29+Новотр!G28+Черн!G28</f>
        <v>1582.1</v>
      </c>
      <c r="H38" s="100">
        <f>G38+M38</f>
        <v>1860.1</v>
      </c>
      <c r="I38" s="101">
        <f>IF(E38&gt;0,H38/E38,0)</f>
        <v>0.5648803034398147</v>
      </c>
      <c r="J38" s="101">
        <f>IF(F38&gt;0,H38/F38,0)</f>
        <v>0</v>
      </c>
      <c r="K38" s="110">
        <f>муниц!K35+'Лен '!K32+Высокор!K28+Гост!K29+Новотр!K28+Черн!K28</f>
        <v>1141.8</v>
      </c>
      <c r="L38" s="101">
        <f t="shared" si="3"/>
        <v>1.6290944123314066</v>
      </c>
      <c r="M38" s="110">
        <f>муниц!M35+'Лен '!M32+Высокор!M28+Гост!M29+Новотр!M28+Черн!M28</f>
        <v>278</v>
      </c>
      <c r="N38" s="110">
        <f>муниц!N35+'Лен '!N32+Высокор!N28+Гост!N29+Новотр!N28+Черн!N28</f>
        <v>134.6</v>
      </c>
      <c r="O38" s="101">
        <f t="shared" si="4"/>
        <v>2.0653789004457654</v>
      </c>
      <c r="P38" s="111"/>
      <c r="Q38" s="112"/>
      <c r="R38" s="112"/>
      <c r="S38" s="26"/>
    </row>
    <row r="39" spans="1:19" ht="18">
      <c r="A39" s="9" t="s">
        <v>86</v>
      </c>
      <c r="B39" s="18">
        <v>1140000000</v>
      </c>
      <c r="C39" s="103">
        <f aca="true" t="shared" si="13" ref="C39:H39">SUM(C40:C41)</f>
        <v>118.8</v>
      </c>
      <c r="D39" s="103">
        <f t="shared" si="13"/>
        <v>13660</v>
      </c>
      <c r="E39" s="103">
        <f t="shared" si="13"/>
        <v>13778.8</v>
      </c>
      <c r="F39" s="103">
        <f t="shared" si="13"/>
        <v>0</v>
      </c>
      <c r="G39" s="103">
        <f t="shared" si="13"/>
        <v>20.2</v>
      </c>
      <c r="H39" s="103">
        <f t="shared" si="13"/>
        <v>20.2</v>
      </c>
      <c r="I39" s="97">
        <f t="shared" si="1"/>
        <v>0.0014660202630127443</v>
      </c>
      <c r="J39" s="97">
        <f t="shared" si="2"/>
        <v>0</v>
      </c>
      <c r="K39" s="103">
        <f>SUM(K40:K41)</f>
        <v>42.5</v>
      </c>
      <c r="L39" s="97">
        <f t="shared" si="3"/>
        <v>0.4752941176470588</v>
      </c>
      <c r="M39" s="103">
        <f>SUM(M40:M41)</f>
        <v>0</v>
      </c>
      <c r="N39" s="103">
        <f>SUM(N40:N41)</f>
        <v>21.1</v>
      </c>
      <c r="O39" s="97">
        <f t="shared" si="4"/>
        <v>0</v>
      </c>
      <c r="P39" s="106"/>
      <c r="Q39" s="106"/>
      <c r="R39" s="106"/>
      <c r="S39" s="26"/>
    </row>
    <row r="40" spans="1:19" ht="18">
      <c r="A40" s="13" t="s">
        <v>31</v>
      </c>
      <c r="B40" s="13">
        <v>1140205200</v>
      </c>
      <c r="C40" s="110">
        <f>муниц!C37+'Лен '!C34+Высокор!C29+Гост!C30+Новотр!C30+Черн!C29</f>
        <v>100</v>
      </c>
      <c r="D40" s="110">
        <f>муниц!D37+'Лен '!D34+Высокор!D29+Гост!D30+Новотр!D30+Черн!D29</f>
        <v>13660</v>
      </c>
      <c r="E40" s="102">
        <f t="shared" si="10"/>
        <v>13760</v>
      </c>
      <c r="F40" s="110">
        <f>муниц!F37+'Лен '!F34+Высокор!F29+Гост!F30+Новотр!F30+Черн!F29</f>
        <v>0</v>
      </c>
      <c r="G40" s="110">
        <f>муниц!G37+'Лен '!G34+Высокор!G29+Гост!G30+Новотр!G30+Черн!G29</f>
        <v>10.7</v>
      </c>
      <c r="H40" s="100">
        <f>G40+M40</f>
        <v>10.7</v>
      </c>
      <c r="I40" s="101">
        <f t="shared" si="1"/>
        <v>0.0007776162790697674</v>
      </c>
      <c r="J40" s="101">
        <f t="shared" si="2"/>
        <v>0</v>
      </c>
      <c r="K40" s="110">
        <f>муниц!K37+'Лен '!K34+Высокор!K29+Гост!K30+Новотр!K30+Черн!K29</f>
        <v>7.700000000000001</v>
      </c>
      <c r="L40" s="101">
        <f t="shared" si="3"/>
        <v>1.3896103896103893</v>
      </c>
      <c r="M40" s="110">
        <f>муниц!M37+'Лен '!M34+Высокор!M29+Гост!M30+Новотр!M30+Черн!M29</f>
        <v>0</v>
      </c>
      <c r="N40" s="110">
        <f>муниц!N37+'Лен '!N34+Высокор!N29+Гост!N30+Новотр!N30+Черн!N29</f>
        <v>0</v>
      </c>
      <c r="O40" s="101">
        <f t="shared" si="4"/>
        <v>0</v>
      </c>
      <c r="P40" s="112"/>
      <c r="Q40" s="112"/>
      <c r="R40" s="112"/>
      <c r="S40" s="26"/>
    </row>
    <row r="41" spans="1:19" ht="18">
      <c r="A41" s="13" t="s">
        <v>32</v>
      </c>
      <c r="B41" s="13">
        <v>1140600000</v>
      </c>
      <c r="C41" s="110">
        <f>муниц!C38+'Лен '!C35+Высокор!C30+Гост!C31+Новотр!C29+Черн!C30+'Лен '!C36</f>
        <v>18.8</v>
      </c>
      <c r="D41" s="110">
        <f>муниц!D38+'Лен '!D35+Высокор!D30+Гост!D31+Новотр!D29+Черн!D30+'Лен '!D36</f>
        <v>0</v>
      </c>
      <c r="E41" s="102">
        <f t="shared" si="10"/>
        <v>18.8</v>
      </c>
      <c r="F41" s="110">
        <f>муниц!F38+'Лен '!F35+Высокор!F30+Гост!F31+Новотр!F29+Черн!F30</f>
        <v>0</v>
      </c>
      <c r="G41" s="110">
        <f>муниц!G38+'Лен '!G35+Высокор!G30+Гост!G31+Новотр!G29+Черн!G30+'Лен '!G36</f>
        <v>9.5</v>
      </c>
      <c r="H41" s="100">
        <f>G41+M41</f>
        <v>9.5</v>
      </c>
      <c r="I41" s="101">
        <f t="shared" si="1"/>
        <v>0.5053191489361702</v>
      </c>
      <c r="J41" s="101">
        <f t="shared" si="2"/>
        <v>0</v>
      </c>
      <c r="K41" s="110">
        <f>муниц!K38+'Лен '!K35+Высокор!K30+Гост!K31+Новотр!K29+Черн!K30+'Лен '!K36</f>
        <v>34.8</v>
      </c>
      <c r="L41" s="101">
        <f t="shared" si="3"/>
        <v>0.27298850574712646</v>
      </c>
      <c r="M41" s="110">
        <f>муниц!M38+'Лен '!M35+Высокор!M30+Гост!M31+Новотр!M29+Черн!M30+'Лен '!M36</f>
        <v>0</v>
      </c>
      <c r="N41" s="110">
        <f>муниц!N38+'Лен '!N35+Высокор!N30+Гост!N31+Новотр!N29+Черн!N30+'Лен '!N36</f>
        <v>21.1</v>
      </c>
      <c r="O41" s="101">
        <f t="shared" si="4"/>
        <v>0</v>
      </c>
      <c r="P41" s="112"/>
      <c r="Q41" s="112"/>
      <c r="R41" s="112"/>
      <c r="S41" s="26"/>
    </row>
    <row r="42" spans="1:19" ht="18">
      <c r="A42" s="9" t="s">
        <v>87</v>
      </c>
      <c r="B42" s="18">
        <v>1160000000</v>
      </c>
      <c r="C42" s="103">
        <f>муниц!C39+'Лен '!C37+Высокор!C31+Гост!C32+Новотр!C31+Черн!C31</f>
        <v>44</v>
      </c>
      <c r="D42" s="103">
        <f>муниц!D39+'Лен '!D37+Высокор!D31+Гост!D32+Новотр!D31+Черн!D31</f>
        <v>0</v>
      </c>
      <c r="E42" s="105">
        <f t="shared" si="10"/>
        <v>44</v>
      </c>
      <c r="F42" s="103">
        <f>муниц!F39+'Лен '!F37+Высокор!F31+Гост!F32+Новотр!F31+Черн!F31</f>
        <v>83</v>
      </c>
      <c r="G42" s="103">
        <f>муниц!G39+'Лен '!G37+Высокор!G31+Гост!G32+Новотр!G31+Черн!G31</f>
        <v>272.2</v>
      </c>
      <c r="H42" s="96">
        <f>G42+M42</f>
        <v>289.3</v>
      </c>
      <c r="I42" s="97">
        <f t="shared" si="1"/>
        <v>6.575</v>
      </c>
      <c r="J42" s="97">
        <f t="shared" si="2"/>
        <v>3.485542168674699</v>
      </c>
      <c r="K42" s="103">
        <f>муниц!K39+'Лен '!K37+Высокор!K31+Гост!K32+Новотр!K31+Черн!K31</f>
        <v>2687.7999999999997</v>
      </c>
      <c r="L42" s="97">
        <f t="shared" si="3"/>
        <v>0.10763449661433144</v>
      </c>
      <c r="M42" s="103">
        <f>муниц!M39+'Лен '!M37+Высокор!M31+Гост!M32+Новотр!M31+Черн!M31</f>
        <v>17.1</v>
      </c>
      <c r="N42" s="103">
        <f>муниц!N39+'Лен '!N37+Высокор!N31+Гост!N32+Новотр!N31+Черн!N31</f>
        <v>27.7</v>
      </c>
      <c r="O42" s="97">
        <f t="shared" si="4"/>
        <v>0.6173285198555958</v>
      </c>
      <c r="P42" s="106"/>
      <c r="Q42" s="106"/>
      <c r="R42" s="106"/>
      <c r="S42" s="26"/>
    </row>
    <row r="43" spans="1:19" ht="18">
      <c r="A43" s="9" t="s">
        <v>88</v>
      </c>
      <c r="B43" s="18">
        <v>1170000000</v>
      </c>
      <c r="C43" s="103">
        <f aca="true" t="shared" si="14" ref="C43:H43">SUM(C44:C45)</f>
        <v>0</v>
      </c>
      <c r="D43" s="103">
        <f t="shared" si="14"/>
        <v>0</v>
      </c>
      <c r="E43" s="103">
        <f t="shared" si="14"/>
        <v>0</v>
      </c>
      <c r="F43" s="103">
        <f t="shared" si="14"/>
        <v>0</v>
      </c>
      <c r="G43" s="103">
        <f t="shared" si="14"/>
        <v>5.6</v>
      </c>
      <c r="H43" s="103">
        <f t="shared" si="14"/>
        <v>1.3000000000000005</v>
      </c>
      <c r="I43" s="97">
        <f t="shared" si="1"/>
        <v>0</v>
      </c>
      <c r="J43" s="97">
        <f t="shared" si="2"/>
        <v>0</v>
      </c>
      <c r="K43" s="103">
        <f>SUM(K44:K45)</f>
        <v>3.4</v>
      </c>
      <c r="L43" s="97">
        <f t="shared" si="3"/>
        <v>0.38235294117647073</v>
      </c>
      <c r="M43" s="103">
        <f>SUM(M44:M45)</f>
        <v>-4.3</v>
      </c>
      <c r="N43" s="103">
        <f>SUM(N44:N45)</f>
        <v>2.7</v>
      </c>
      <c r="O43" s="97">
        <f t="shared" si="4"/>
        <v>-1.5925925925925923</v>
      </c>
      <c r="P43" s="103">
        <f>SUM(P44:P45)</f>
        <v>0</v>
      </c>
      <c r="Q43" s="103">
        <f>SUM(Q44:Q45)</f>
        <v>0</v>
      </c>
      <c r="R43" s="103">
        <f>SUM(R44:R45)</f>
        <v>0</v>
      </c>
      <c r="S43" s="26"/>
    </row>
    <row r="44" spans="1:19" ht="18">
      <c r="A44" s="13" t="s">
        <v>8</v>
      </c>
      <c r="B44" s="13">
        <v>1170105005</v>
      </c>
      <c r="C44" s="98"/>
      <c r="D44" s="98"/>
      <c r="E44" s="102">
        <f>C44+D44</f>
        <v>0</v>
      </c>
      <c r="F44" s="98"/>
      <c r="G44" s="98">
        <f>муниц!G41+'Лен '!G39+Высокор!G33+Гост!G34+Новотр!G33+Черн!G33</f>
        <v>5</v>
      </c>
      <c r="H44" s="100">
        <f>G44+M44</f>
        <v>0.40000000000000036</v>
      </c>
      <c r="I44" s="101">
        <f t="shared" si="1"/>
        <v>0</v>
      </c>
      <c r="J44" s="101">
        <f t="shared" si="2"/>
        <v>0</v>
      </c>
      <c r="K44" s="98">
        <f>муниц!K41+'Лен '!K39+Высокор!K33+Гост!K34+Новотр!K33+Черн!K33</f>
        <v>2.8</v>
      </c>
      <c r="L44" s="101">
        <f t="shared" si="3"/>
        <v>0.142857142857143</v>
      </c>
      <c r="M44" s="98">
        <f>муниц!M41+'Лен '!M39+Высокор!M33+Гост!M34+Новотр!M33+Черн!M33</f>
        <v>-4.6</v>
      </c>
      <c r="N44" s="98">
        <f>муниц!N41+'Лен '!N39+Высокор!N33+Гост!N34+Новотр!N33+Черн!N33</f>
        <v>2.7</v>
      </c>
      <c r="O44" s="101">
        <f t="shared" si="4"/>
        <v>-1.7037037037037035</v>
      </c>
      <c r="P44" s="101"/>
      <c r="Q44" s="109"/>
      <c r="R44" s="109"/>
      <c r="S44" s="26"/>
    </row>
    <row r="45" spans="1:19" ht="18">
      <c r="A45" s="13" t="s">
        <v>14</v>
      </c>
      <c r="B45" s="13">
        <v>1170505005</v>
      </c>
      <c r="C45" s="98">
        <f>муниц!C42+'Лен '!C40+Высокор!C34+Гост!C35+Новотр!C34+Черн!C34</f>
        <v>0</v>
      </c>
      <c r="D45" s="98">
        <f>муниц!D42+'Лен '!D40+Высокор!D34+Гост!D35+Новотр!D34+Черн!D34</f>
        <v>0</v>
      </c>
      <c r="E45" s="102">
        <f>C45+D45</f>
        <v>0</v>
      </c>
      <c r="F45" s="98">
        <f>муниц!F42+'Лен '!F40+Высокор!F34+Гост!F35+Новотр!F34+Черн!F34</f>
        <v>0</v>
      </c>
      <c r="G45" s="98">
        <f>муниц!G42+'Лен '!G40+Высокор!G34+Гост!G35+Новотр!G34+Черн!G34</f>
        <v>0.6000000000000001</v>
      </c>
      <c r="H45" s="100">
        <f>G45+M45</f>
        <v>0.9000000000000001</v>
      </c>
      <c r="I45" s="101">
        <f t="shared" si="1"/>
        <v>0</v>
      </c>
      <c r="J45" s="101">
        <f t="shared" si="2"/>
        <v>0</v>
      </c>
      <c r="K45" s="98">
        <f>муниц!K42+'Лен '!K40+Высокор!K34+Гост!K35+Новотр!K34+Черн!K34</f>
        <v>0.6000000000000001</v>
      </c>
      <c r="L45" s="101">
        <f t="shared" si="3"/>
        <v>1.5</v>
      </c>
      <c r="M45" s="98">
        <f>муниц!M42+'Лен '!M40+Высокор!M34+Гост!M35+Новотр!M34+Черн!M34</f>
        <v>0.30000000000000004</v>
      </c>
      <c r="N45" s="98">
        <f>муниц!N42+'Лен '!N40+Высокор!N34+Гост!N35+Новотр!N34+Черн!N34</f>
        <v>0</v>
      </c>
      <c r="O45" s="101">
        <f t="shared" si="4"/>
        <v>0</v>
      </c>
      <c r="P45" s="98"/>
      <c r="Q45" s="98"/>
      <c r="R45" s="98"/>
      <c r="S45" s="26"/>
    </row>
    <row r="46" spans="1:19" ht="18">
      <c r="A46" s="16" t="s">
        <v>6</v>
      </c>
      <c r="B46" s="23">
        <v>1000000000</v>
      </c>
      <c r="C46" s="113">
        <f aca="true" t="shared" si="15" ref="C46:H46">C5+C27</f>
        <v>88858.92</v>
      </c>
      <c r="D46" s="113">
        <f t="shared" si="15"/>
        <v>13902.703</v>
      </c>
      <c r="E46" s="115">
        <f t="shared" si="15"/>
        <v>102761.623</v>
      </c>
      <c r="F46" s="115" t="e">
        <f t="shared" si="15"/>
        <v>#REF!</v>
      </c>
      <c r="G46" s="116">
        <f t="shared" si="15"/>
        <v>34400</v>
      </c>
      <c r="H46" s="116">
        <f t="shared" si="15"/>
        <v>39665.200000000004</v>
      </c>
      <c r="I46" s="117">
        <f t="shared" si="1"/>
        <v>0.38599234657864445</v>
      </c>
      <c r="J46" s="117" t="e">
        <f t="shared" si="2"/>
        <v>#REF!</v>
      </c>
      <c r="K46" s="114">
        <f>K5+K27</f>
        <v>47367.5</v>
      </c>
      <c r="L46" s="117">
        <f t="shared" si="3"/>
        <v>0.8373927270808045</v>
      </c>
      <c r="M46" s="116">
        <f>M5+M27</f>
        <v>5265.2</v>
      </c>
      <c r="N46" s="116">
        <f>N5+N27</f>
        <v>4591.5</v>
      </c>
      <c r="O46" s="117">
        <f t="shared" si="4"/>
        <v>1.1467276489164762</v>
      </c>
      <c r="P46" s="114">
        <f>P5+P27</f>
        <v>1745.1999999999998</v>
      </c>
      <c r="Q46" s="114">
        <f>Q5+Q27</f>
        <v>4487.199999999999</v>
      </c>
      <c r="R46" s="114">
        <f>R5+R27</f>
        <v>3034.9999999999995</v>
      </c>
      <c r="S46" s="26"/>
    </row>
    <row r="47" spans="1:19" ht="18">
      <c r="A47" s="13" t="s">
        <v>36</v>
      </c>
      <c r="B47" s="21">
        <v>2000000000</v>
      </c>
      <c r="C47" s="118">
        <f>муниц!C45+2018.1+11215</f>
        <v>213577.26</v>
      </c>
      <c r="D47" s="118">
        <f>муниц!D45</f>
        <v>9746.89</v>
      </c>
      <c r="E47" s="119">
        <f>C47+D47</f>
        <v>223324.15000000002</v>
      </c>
      <c r="F47" s="100">
        <f>муниц!F45</f>
        <v>74695.19</v>
      </c>
      <c r="G47" s="100">
        <f>муниц!G45+151.6</f>
        <v>82242.40000000001</v>
      </c>
      <c r="H47" s="100">
        <f>G47+M47</f>
        <v>109138.30000000002</v>
      </c>
      <c r="I47" s="101">
        <f t="shared" si="1"/>
        <v>0.4886990502370657</v>
      </c>
      <c r="J47" s="101">
        <f t="shared" si="2"/>
        <v>1.4611155015470207</v>
      </c>
      <c r="K47" s="100">
        <f>муниц!K45</f>
        <v>92572.7</v>
      </c>
      <c r="L47" s="101">
        <f t="shared" si="3"/>
        <v>1.178946924957358</v>
      </c>
      <c r="M47" s="100">
        <f>муниц!M45+2068.9</f>
        <v>26895.9</v>
      </c>
      <c r="N47" s="100">
        <f>муниц!N45</f>
        <v>17954.1</v>
      </c>
      <c r="O47" s="101">
        <f t="shared" si="4"/>
        <v>1.4980366601500494</v>
      </c>
      <c r="P47" s="109"/>
      <c r="Q47" s="109"/>
      <c r="R47" s="109"/>
      <c r="S47" s="26"/>
    </row>
    <row r="48" spans="1:19" ht="18">
      <c r="A48" s="13" t="s">
        <v>46</v>
      </c>
      <c r="B48" s="24" t="s">
        <v>39</v>
      </c>
      <c r="C48" s="98">
        <f>муниц!C46+'Лен '!C44+Высокор!C38+Гост!C39+Новотр!C38+Черн!C38</f>
        <v>0</v>
      </c>
      <c r="D48" s="98">
        <f>муниц!D46+'Лен '!D44+Высокор!D38+Гост!D39+Новотр!D38+Черн!D38</f>
        <v>955.6360000000001</v>
      </c>
      <c r="E48" s="102">
        <f>C48+D48</f>
        <v>955.6360000000001</v>
      </c>
      <c r="F48" s="98">
        <f>муниц!F46+'Лен '!F44+Высокор!F38+Гост!F39+Новотр!F38+Черн!F38</f>
        <v>0</v>
      </c>
      <c r="G48" s="98">
        <f>муниц!G46+'Лен '!G44+Высокор!G38+Гост!G39+Новотр!G38+Черн!G38</f>
        <v>578.2</v>
      </c>
      <c r="H48" s="100">
        <f>G48+M48</f>
        <v>578.2</v>
      </c>
      <c r="I48" s="101">
        <f>IF(E48&gt;0,H48/E48,0)</f>
        <v>0.6050420871545232</v>
      </c>
      <c r="J48" s="101">
        <f>IF(F48&gt;0,H48/F48,0)</f>
        <v>0</v>
      </c>
      <c r="K48" s="98">
        <f>муниц!K46+'Лен '!K44+Высокор!K38+Гост!K39+Новотр!K38+Черн!K38</f>
        <v>1536.1999999999998</v>
      </c>
      <c r="L48" s="101">
        <f t="shared" si="3"/>
        <v>0.37638328342663724</v>
      </c>
      <c r="M48" s="98">
        <f>муниц!M46+'Лен '!M44+Высокор!M38+Гост!M39+Новотр!M38+Черн!M38</f>
        <v>0</v>
      </c>
      <c r="N48" s="98">
        <f>муниц!N46+'Лен '!N44+Высокор!N38+Гост!N39+Новотр!N38+Черн!N38</f>
        <v>-0.5</v>
      </c>
      <c r="O48" s="101">
        <f t="shared" si="4"/>
        <v>0</v>
      </c>
      <c r="P48" s="109"/>
      <c r="Q48" s="109"/>
      <c r="R48" s="109"/>
      <c r="S48" s="26"/>
    </row>
    <row r="49" spans="1:19" ht="20.25" customHeight="1">
      <c r="A49" s="8" t="s">
        <v>93</v>
      </c>
      <c r="B49" s="128" t="s">
        <v>94</v>
      </c>
      <c r="C49" s="98"/>
      <c r="D49" s="98">
        <f>муниц!D48</f>
        <v>-1.45</v>
      </c>
      <c r="E49" s="119">
        <f>C49+D49</f>
        <v>-1.45</v>
      </c>
      <c r="F49" s="98"/>
      <c r="G49" s="98">
        <f>муниц!G48</f>
        <v>-120.6</v>
      </c>
      <c r="H49" s="100">
        <f>G49+M49</f>
        <v>-120.6</v>
      </c>
      <c r="I49" s="101"/>
      <c r="J49" s="101"/>
      <c r="K49" s="98">
        <v>-3067.7</v>
      </c>
      <c r="L49" s="101">
        <f t="shared" si="3"/>
        <v>0</v>
      </c>
      <c r="M49" s="98">
        <f>муниц!M48</f>
        <v>0</v>
      </c>
      <c r="N49" s="98"/>
      <c r="O49" s="101"/>
      <c r="P49" s="109"/>
      <c r="Q49" s="109"/>
      <c r="R49" s="109"/>
      <c r="S49" s="26"/>
    </row>
    <row r="50" spans="1:19" ht="18">
      <c r="A50" s="16" t="s">
        <v>2</v>
      </c>
      <c r="B50" s="25"/>
      <c r="C50" s="116">
        <f>C46+C47+C48+C49</f>
        <v>302436.18</v>
      </c>
      <c r="D50" s="116">
        <f>D46+D47+D48+D49</f>
        <v>24603.779</v>
      </c>
      <c r="E50" s="179">
        <f>E46+E47+E48+E49</f>
        <v>327039.95900000003</v>
      </c>
      <c r="F50" s="114" t="e">
        <f>F46+F47+F48</f>
        <v>#REF!</v>
      </c>
      <c r="G50" s="116">
        <f>G46+G47+G48+G49</f>
        <v>117100</v>
      </c>
      <c r="H50" s="116">
        <f>H46+H47+H48+H49</f>
        <v>149261.10000000003</v>
      </c>
      <c r="I50" s="117">
        <f t="shared" si="1"/>
        <v>0.45640019175760727</v>
      </c>
      <c r="J50" s="117" t="e">
        <f t="shared" si="2"/>
        <v>#REF!</v>
      </c>
      <c r="K50" s="116">
        <f>K46+K47+K48+K49</f>
        <v>138408.7</v>
      </c>
      <c r="L50" s="117">
        <f t="shared" si="3"/>
        <v>1.0784083659480945</v>
      </c>
      <c r="M50" s="116">
        <f>M46+M47+M48+M49</f>
        <v>32161.100000000002</v>
      </c>
      <c r="N50" s="116">
        <f>N46+N47+N48+N49</f>
        <v>22545.1</v>
      </c>
      <c r="O50" s="117">
        <f t="shared" si="4"/>
        <v>1.4265228364478315</v>
      </c>
      <c r="P50" s="114">
        <f>P46+P47</f>
        <v>1745.1999999999998</v>
      </c>
      <c r="Q50" s="114">
        <f>Q46+Q47</f>
        <v>4487.199999999999</v>
      </c>
      <c r="R50" s="114">
        <f>R46+R47</f>
        <v>3034.9999999999995</v>
      </c>
      <c r="S50" s="26"/>
    </row>
    <row r="51" spans="2:19" ht="15">
      <c r="B51" s="26"/>
      <c r="C51" s="26"/>
      <c r="D51" s="26"/>
      <c r="E51" s="26"/>
      <c r="F51" s="26"/>
      <c r="G51" s="26"/>
      <c r="H51" s="27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</row>
    <row r="52" spans="2:18" ht="1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2:18" ht="1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</row>
    <row r="54" spans="2:18" ht="1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2:18" ht="1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2:18" ht="1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spans="2:18" ht="1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spans="2:18" ht="1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2:18" ht="1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</row>
    <row r="60" spans="2:18" ht="1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spans="2:18" ht="1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spans="2:18" ht="1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spans="2:18" ht="1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spans="2:18" ht="1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</row>
    <row r="65" spans="2:18" ht="1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2:18" ht="1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</row>
    <row r="67" spans="2:18" ht="1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</row>
    <row r="68" spans="2:18" ht="1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spans="2:18" ht="1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spans="2:18" ht="1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spans="2:18" ht="1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</row>
    <row r="72" spans="2:18" ht="1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</row>
    <row r="73" spans="2:18" ht="1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spans="2:18" ht="1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</row>
    <row r="75" spans="2:18" ht="1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76" spans="2:18" ht="1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spans="2:18" ht="1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</row>
    <row r="78" spans="2:18" ht="1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</row>
    <row r="79" spans="2:18" ht="1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</row>
    <row r="80" spans="2:18" ht="1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</row>
    <row r="81" spans="2:18" ht="1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</row>
    <row r="82" spans="2:18" ht="1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</row>
  </sheetData>
  <sheetProtection/>
  <mergeCells count="15">
    <mergeCell ref="D3:D4"/>
    <mergeCell ref="E3:E4"/>
    <mergeCell ref="G3:G4"/>
    <mergeCell ref="F3:F4"/>
    <mergeCell ref="C3:C4"/>
    <mergeCell ref="A1:R1"/>
    <mergeCell ref="A2:R2"/>
    <mergeCell ref="K3:L3"/>
    <mergeCell ref="P3:R3"/>
    <mergeCell ref="M3:M4"/>
    <mergeCell ref="N3:N4"/>
    <mergeCell ref="O3:O4"/>
    <mergeCell ref="H3:J3"/>
    <mergeCell ref="A3:A4"/>
    <mergeCell ref="B3:B4"/>
  </mergeCells>
  <printOptions/>
  <pageMargins left="0.35433070866141736" right="0.15748031496062992" top="0.5905511811023623" bottom="0.1968503937007874" header="0.5118110236220472" footer="0.5118110236220472"/>
  <pageSetup horizontalDpi="600" verticalDpi="600" orientation="landscape" paperSize="9" scale="53" r:id="rId1"/>
  <rowBreaks count="1" manualBreakCount="1">
    <brk id="5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1</cp:lastModifiedBy>
  <cp:lastPrinted>2020-07-21T06:25:07Z</cp:lastPrinted>
  <dcterms:created xsi:type="dcterms:W3CDTF">2003-11-05T12:49:21Z</dcterms:created>
  <dcterms:modified xsi:type="dcterms:W3CDTF">2020-07-22T11:52:55Z</dcterms:modified>
  <cp:category/>
  <cp:version/>
  <cp:contentType/>
  <cp:contentStatus/>
</cp:coreProperties>
</file>