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55" activeTab="5"/>
  </bookViews>
  <sheets>
    <sheet name="муниц" sheetId="1" r:id="rId1"/>
    <sheet name="Лен " sheetId="2" r:id="rId2"/>
    <sheet name="Высокор" sheetId="3" r:id="rId3"/>
    <sheet name="Гост" sheetId="4" r:id="rId4"/>
    <sheet name="Новотр" sheetId="5" r:id="rId5"/>
    <sheet name="Черн" sheetId="6" r:id="rId6"/>
    <sheet name="консолид" sheetId="7" r:id="rId7"/>
  </sheets>
  <definedNames>
    <definedName name="_xlnm.Print_Area" localSheetId="6">'консолид'!$A$1:$R$51</definedName>
    <definedName name="_xlnm.Print_Area" localSheetId="0">'муниц'!$A$1:$R$48</definedName>
    <definedName name="_xlnm.Print_Area" localSheetId="5">'Черн'!$A$1:$R$40</definedName>
  </definedNames>
  <calcPr fullCalcOnLoad="1"/>
</workbook>
</file>

<file path=xl/sharedStrings.xml><?xml version="1.0" encoding="utf-8"?>
<sst xmlns="http://schemas.openxmlformats.org/spreadsheetml/2006/main" count="441" uniqueCount="121">
  <si>
    <t xml:space="preserve">  ед.налог на ВД</t>
  </si>
  <si>
    <t xml:space="preserve">  арендная плата за землю</t>
  </si>
  <si>
    <t>ВСЕГО ДОХОДОВ</t>
  </si>
  <si>
    <t>НАИМЕНОВАНИЕ ДОХОДНЫХ ИСТОЧНИКОВ</t>
  </si>
  <si>
    <t>Код бюджетной классификации</t>
  </si>
  <si>
    <t xml:space="preserve">                   СВЕДЕНИЯ</t>
  </si>
  <si>
    <t xml:space="preserve"> ДОХОДЫ</t>
  </si>
  <si>
    <t>единый сельхозналог</t>
  </si>
  <si>
    <t>невыясненные поступления</t>
  </si>
  <si>
    <t>НЕДОИМКА</t>
  </si>
  <si>
    <t>% исполнения к годовому плану</t>
  </si>
  <si>
    <t>С В Е Д Е Н И Я</t>
  </si>
  <si>
    <t>налог на имущество ф.л.</t>
  </si>
  <si>
    <t>Земельный налог всего</t>
  </si>
  <si>
    <t xml:space="preserve">в т.ч. земельный налог </t>
  </si>
  <si>
    <t>пр. неналоговые доходы</t>
  </si>
  <si>
    <t>Земельный налог</t>
  </si>
  <si>
    <t xml:space="preserve">.налог на имущество ф.л. </t>
  </si>
  <si>
    <t>аренд пл за имущ.в опер упр</t>
  </si>
  <si>
    <t>доходы от эксплуат автодорог</t>
  </si>
  <si>
    <t>% исполнения к  прошлому году</t>
  </si>
  <si>
    <t>Налог на имущество организаций</t>
  </si>
  <si>
    <t xml:space="preserve">  доходы от акций</t>
  </si>
  <si>
    <t>Налоговые доходы</t>
  </si>
  <si>
    <t>Неналоговые доходы</t>
  </si>
  <si>
    <t xml:space="preserve">проч.поступл. от исп. имущ-ва </t>
  </si>
  <si>
    <t>Поправки</t>
  </si>
  <si>
    <t>Безвозмездные поступления</t>
  </si>
  <si>
    <t xml:space="preserve">Аренд плата за землю </t>
  </si>
  <si>
    <t>доходы от экспл автодорог</t>
  </si>
  <si>
    <t>Наименование доходных источников</t>
  </si>
  <si>
    <t>% исполнения к кассовому плану</t>
  </si>
  <si>
    <t>% исполнения к прошлому году</t>
  </si>
  <si>
    <t>доходы от реализ имущ-ва</t>
  </si>
  <si>
    <t>доходы от продажи зем участк</t>
  </si>
  <si>
    <t>доходы от выдачи патенов</t>
  </si>
  <si>
    <t>.ин гражд ос тр деят по патенту</t>
  </si>
  <si>
    <t>прочие неналоговые доходы</t>
  </si>
  <si>
    <t>доходы от платных услуг</t>
  </si>
  <si>
    <t>доходы связ с экспл имущества</t>
  </si>
  <si>
    <t>Безвозм поступл от бюдж др уровн</t>
  </si>
  <si>
    <t>2070500005</t>
  </si>
  <si>
    <t>Прочие дох от комп затрат</t>
  </si>
  <si>
    <t>2070500000</t>
  </si>
  <si>
    <t>на дох физ лиц налоговых агентов</t>
  </si>
  <si>
    <t>зарегистр в кач-ве инд  предприн</t>
  </si>
  <si>
    <t>физические лица  по ст 228</t>
  </si>
  <si>
    <t>ин гражд ос тр деят по патенту</t>
  </si>
  <si>
    <t>зарег в кач-ве инд  предприн</t>
  </si>
  <si>
    <t>на дох физ лиц налог агентов</t>
  </si>
  <si>
    <t>Доходы от продажи имущест</t>
  </si>
  <si>
    <t>Прочие безвозмездн поступления</t>
  </si>
  <si>
    <t>Прочие безвозмездн поступ</t>
  </si>
  <si>
    <t>2014 год</t>
  </si>
  <si>
    <t>Акцизы по подакцизным товарам</t>
  </si>
  <si>
    <t>Акцизы на дизельное топливо</t>
  </si>
  <si>
    <t>Акцизы на моторные масла</t>
  </si>
  <si>
    <t>Акцизы на автомобильный бензин</t>
  </si>
  <si>
    <t>Акцизы на прямогонный бензин</t>
  </si>
  <si>
    <t>УСН (доходы)</t>
  </si>
  <si>
    <t>УСН (доходы минус расходы)</t>
  </si>
  <si>
    <t>Налоги на совокупный доход</t>
  </si>
  <si>
    <t>Задолж.по отмен.налог.и сборам</t>
  </si>
  <si>
    <t xml:space="preserve"> Налог на имущество организ</t>
  </si>
  <si>
    <t>арендная пл за землю до разгр</t>
  </si>
  <si>
    <t>аренда земли после разгр</t>
  </si>
  <si>
    <t xml:space="preserve">  арендная плата за имущ.</t>
  </si>
  <si>
    <t>Доходы от использ имущества</t>
  </si>
  <si>
    <t>прочие доходы от комп затрат</t>
  </si>
  <si>
    <t>Н Д Ф Л</t>
  </si>
  <si>
    <t>ГОСПОШЛИНА</t>
  </si>
  <si>
    <t>Плата за негат воздна окр.</t>
  </si>
  <si>
    <t>Доходы от оказ платн услуг</t>
  </si>
  <si>
    <t>ДОХОДЫ ОТ ПРОД АЖИ</t>
  </si>
  <si>
    <t>.ШТРАФЫ, САНКЦИИ</t>
  </si>
  <si>
    <t>ПРОЧ.НЕНАЛОГ.ДОХОДЫ</t>
  </si>
  <si>
    <t>Налог на СОВОКУП.ДОХОД</t>
  </si>
  <si>
    <t>Налоги на ИМУЩЕСТВО</t>
  </si>
  <si>
    <t xml:space="preserve"> Госпошлина</t>
  </si>
  <si>
    <t>Задолженность по зем налогу</t>
  </si>
  <si>
    <t>ДОХОДЫ ОТ ИСП.ИМУЩ.</t>
  </si>
  <si>
    <t xml:space="preserve"> Доходы от продажи имущества</t>
  </si>
  <si>
    <t xml:space="preserve"> Доходы от продажи зем уч</t>
  </si>
  <si>
    <t xml:space="preserve"> Штрафы,санкции</t>
  </si>
  <si>
    <t>Доходы от продажи зем уч</t>
  </si>
  <si>
    <t xml:space="preserve"> Штрафы, санкции</t>
  </si>
  <si>
    <t>Налоги на имущество</t>
  </si>
  <si>
    <t>Плата за негат.возд.на окр.среду</t>
  </si>
  <si>
    <t>Налоги на совокуп доход</t>
  </si>
  <si>
    <t>Госпошлина</t>
  </si>
  <si>
    <t>Зад.по отмен.налог.и сборам</t>
  </si>
  <si>
    <t>Доходы от использ-я  имущ-ва</t>
  </si>
  <si>
    <t>Доходы от продажи</t>
  </si>
  <si>
    <t>Штрафы, санкции</t>
  </si>
  <si>
    <t>Прочие неналог доходы</t>
  </si>
  <si>
    <t xml:space="preserve"> ИТОГО СОБСТВ ДОХОДЫ</t>
  </si>
  <si>
    <t>Акцизы на автобензин</t>
  </si>
  <si>
    <t>Собств доходы без акцизов и родит платы</t>
  </si>
  <si>
    <t>Собств доходы без акцизов</t>
  </si>
  <si>
    <t>Возврат остатков прошл лет</t>
  </si>
  <si>
    <t>2190500005</t>
  </si>
  <si>
    <t>на 01.01.2015года</t>
  </si>
  <si>
    <t>Первоначальный план на 2015 год</t>
  </si>
  <si>
    <t>Уточненный план на 2015 год</t>
  </si>
  <si>
    <t>2015 год</t>
  </si>
  <si>
    <t>Кассовый план на 1 квартал  2015 года</t>
  </si>
  <si>
    <t>Фактическое исполнение за январь-февраль</t>
  </si>
  <si>
    <t>Фактическое исполнение за январь-март</t>
  </si>
  <si>
    <t>Поступило за  март  2015 года</t>
  </si>
  <si>
    <t>Поступило за  март  2014 года</t>
  </si>
  <si>
    <t>на 01.03.2015года</t>
  </si>
  <si>
    <t>2070500013</t>
  </si>
  <si>
    <t>Сведения об исполнении бюджета муниципального района по состоянию на 01 апреля  2015 года</t>
  </si>
  <si>
    <t>на 01.04.2015года</t>
  </si>
  <si>
    <t xml:space="preserve">об исполнении бюджета Ленинского городского поселения на  01 апреля   2015 г. </t>
  </si>
  <si>
    <t>об исполнении бюджета Высокораменского сельского поселения на 01 апреля  2015 г.</t>
  </si>
  <si>
    <t>на 01.06.2015года</t>
  </si>
  <si>
    <t>об исполнении бюджета Гостовского сельского поселения на  01 апреля  2015г.</t>
  </si>
  <si>
    <t>об исполнении бюджета Новотроицкого сельского поселения на  01 апреля   2015 г.</t>
  </si>
  <si>
    <t>об исполнении бюджета Черновского сельского поселения на 01 апреля  2015 г.</t>
  </si>
  <si>
    <t xml:space="preserve">об исполнении бюджета муниципального  образования на 01 апреля  2015 года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</si>
</sst>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20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165" fontId="3" fillId="33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7" fillId="35" borderId="12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33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8" fillId="35" borderId="12" xfId="0" applyFont="1" applyFill="1" applyBorder="1" applyAlignment="1">
      <alignment wrapText="1"/>
    </xf>
    <xf numFmtId="0" fontId="7" fillId="34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0" fontId="8" fillId="36" borderId="12" xfId="0" applyFont="1" applyFill="1" applyBorder="1" applyAlignment="1">
      <alignment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/>
    </xf>
    <xf numFmtId="0" fontId="9" fillId="33" borderId="12" xfId="0" applyFont="1" applyFill="1" applyBorder="1" applyAlignment="1">
      <alignment/>
    </xf>
    <xf numFmtId="0" fontId="7" fillId="34" borderId="12" xfId="0" applyFont="1" applyFill="1" applyBorder="1" applyAlignment="1">
      <alignment wrapText="1"/>
    </xf>
    <xf numFmtId="0" fontId="8" fillId="35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/>
    </xf>
    <xf numFmtId="0" fontId="10" fillId="35" borderId="12" xfId="0" applyFont="1" applyFill="1" applyBorder="1" applyAlignment="1">
      <alignment wrapText="1"/>
    </xf>
    <xf numFmtId="0" fontId="6" fillId="35" borderId="12" xfId="0" applyFont="1" applyFill="1" applyBorder="1" applyAlignment="1">
      <alignment/>
    </xf>
    <xf numFmtId="0" fontId="6" fillId="35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10" fillId="34" borderId="12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/>
    </xf>
    <xf numFmtId="0" fontId="10" fillId="35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49" fontId="6" fillId="33" borderId="12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34" borderId="13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wrapText="1"/>
    </xf>
    <xf numFmtId="0" fontId="8" fillId="35" borderId="13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5" borderId="0" xfId="0" applyFont="1" applyFill="1" applyBorder="1" applyAlignment="1">
      <alignment/>
    </xf>
    <xf numFmtId="0" fontId="11" fillId="34" borderId="12" xfId="0" applyFont="1" applyFill="1" applyBorder="1" applyAlignment="1">
      <alignment wrapText="1"/>
    </xf>
    <xf numFmtId="164" fontId="11" fillId="34" borderId="12" xfId="55" applyNumberFormat="1" applyFont="1" applyFill="1" applyBorder="1" applyAlignment="1">
      <alignment/>
    </xf>
    <xf numFmtId="0" fontId="12" fillId="35" borderId="12" xfId="0" applyFont="1" applyFill="1" applyBorder="1" applyAlignment="1">
      <alignment wrapText="1"/>
    </xf>
    <xf numFmtId="164" fontId="12" fillId="35" borderId="12" xfId="55" applyNumberFormat="1" applyFont="1" applyFill="1" applyBorder="1" applyAlignment="1">
      <alignment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/>
    </xf>
    <xf numFmtId="164" fontId="12" fillId="33" borderId="12" xfId="55" applyNumberFormat="1" applyFont="1" applyFill="1" applyBorder="1" applyAlignment="1">
      <alignment/>
    </xf>
    <xf numFmtId="0" fontId="12" fillId="35" borderId="12" xfId="0" applyFont="1" applyFill="1" applyBorder="1" applyAlignment="1">
      <alignment/>
    </xf>
    <xf numFmtId="0" fontId="12" fillId="34" borderId="12" xfId="0" applyFont="1" applyFill="1" applyBorder="1" applyAlignment="1">
      <alignment wrapText="1"/>
    </xf>
    <xf numFmtId="166" fontId="12" fillId="34" borderId="12" xfId="0" applyNumberFormat="1" applyFont="1" applyFill="1" applyBorder="1" applyAlignment="1">
      <alignment wrapText="1"/>
    </xf>
    <xf numFmtId="164" fontId="5" fillId="34" borderId="13" xfId="55" applyNumberFormat="1" applyFont="1" applyFill="1" applyBorder="1" applyAlignment="1">
      <alignment/>
    </xf>
    <xf numFmtId="0" fontId="13" fillId="35" borderId="13" xfId="0" applyFont="1" applyFill="1" applyBorder="1" applyAlignment="1">
      <alignment/>
    </xf>
    <xf numFmtId="164" fontId="13" fillId="35" borderId="13" xfId="55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165" fontId="13" fillId="33" borderId="12" xfId="0" applyNumberFormat="1" applyFont="1" applyFill="1" applyBorder="1" applyAlignment="1">
      <alignment/>
    </xf>
    <xf numFmtId="165" fontId="13" fillId="33" borderId="13" xfId="0" applyNumberFormat="1" applyFont="1" applyFill="1" applyBorder="1" applyAlignment="1">
      <alignment/>
    </xf>
    <xf numFmtId="164" fontId="13" fillId="33" borderId="13" xfId="55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5" borderId="12" xfId="0" applyFont="1" applyFill="1" applyBorder="1" applyAlignment="1">
      <alignment/>
    </xf>
    <xf numFmtId="165" fontId="13" fillId="35" borderId="12" xfId="0" applyNumberFormat="1" applyFont="1" applyFill="1" applyBorder="1" applyAlignment="1">
      <alignment/>
    </xf>
    <xf numFmtId="0" fontId="13" fillId="33" borderId="12" xfId="0" applyNumberFormat="1" applyFont="1" applyFill="1" applyBorder="1" applyAlignment="1">
      <alignment/>
    </xf>
    <xf numFmtId="165" fontId="13" fillId="35" borderId="13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13" fillId="33" borderId="12" xfId="55" applyNumberFormat="1" applyFont="1" applyFill="1" applyBorder="1" applyAlignment="1">
      <alignment/>
    </xf>
    <xf numFmtId="0" fontId="13" fillId="35" borderId="12" xfId="55" applyNumberFormat="1" applyFont="1" applyFill="1" applyBorder="1" applyAlignment="1">
      <alignment/>
    </xf>
    <xf numFmtId="164" fontId="13" fillId="33" borderId="12" xfId="55" applyNumberFormat="1" applyFont="1" applyFill="1" applyBorder="1" applyAlignment="1">
      <alignment/>
    </xf>
    <xf numFmtId="166" fontId="5" fillId="35" borderId="12" xfId="0" applyNumberFormat="1" applyFont="1" applyFill="1" applyBorder="1" applyAlignment="1">
      <alignment/>
    </xf>
    <xf numFmtId="165" fontId="5" fillId="35" borderId="12" xfId="0" applyNumberFormat="1" applyFont="1" applyFill="1" applyBorder="1" applyAlignment="1">
      <alignment/>
    </xf>
    <xf numFmtId="164" fontId="5" fillId="35" borderId="13" xfId="55" applyNumberFormat="1" applyFont="1" applyFill="1" applyBorder="1" applyAlignment="1">
      <alignment/>
    </xf>
    <xf numFmtId="166" fontId="13" fillId="33" borderId="13" xfId="0" applyNumberFormat="1" applyFont="1" applyFill="1" applyBorder="1" applyAlignment="1">
      <alignment/>
    </xf>
    <xf numFmtId="2" fontId="13" fillId="33" borderId="12" xfId="0" applyNumberFormat="1" applyFont="1" applyFill="1" applyBorder="1" applyAlignment="1">
      <alignment/>
    </xf>
    <xf numFmtId="0" fontId="13" fillId="35" borderId="14" xfId="0" applyFont="1" applyFill="1" applyBorder="1" applyAlignment="1">
      <alignment/>
    </xf>
    <xf numFmtId="166" fontId="13" fillId="33" borderId="12" xfId="0" applyNumberFormat="1" applyFont="1" applyFill="1" applyBorder="1" applyAlignment="1">
      <alignment/>
    </xf>
    <xf numFmtId="2" fontId="5" fillId="34" borderId="13" xfId="0" applyNumberFormat="1" applyFont="1" applyFill="1" applyBorder="1" applyAlignment="1">
      <alignment wrapText="1"/>
    </xf>
    <xf numFmtId="2" fontId="13" fillId="35" borderId="13" xfId="0" applyNumberFormat="1" applyFont="1" applyFill="1" applyBorder="1" applyAlignment="1">
      <alignment/>
    </xf>
    <xf numFmtId="165" fontId="5" fillId="34" borderId="12" xfId="0" applyNumberFormat="1" applyFont="1" applyFill="1" applyBorder="1" applyAlignment="1">
      <alignment/>
    </xf>
    <xf numFmtId="164" fontId="13" fillId="35" borderId="12" xfId="55" applyNumberFormat="1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165" fontId="13" fillId="33" borderId="12" xfId="55" applyNumberFormat="1" applyFont="1" applyFill="1" applyBorder="1" applyAlignment="1">
      <alignment/>
    </xf>
    <xf numFmtId="0" fontId="5" fillId="34" borderId="12" xfId="0" applyFont="1" applyFill="1" applyBorder="1" applyAlignment="1">
      <alignment wrapText="1"/>
    </xf>
    <xf numFmtId="164" fontId="5" fillId="34" borderId="12" xfId="55" applyNumberFormat="1" applyFont="1" applyFill="1" applyBorder="1" applyAlignment="1">
      <alignment/>
    </xf>
    <xf numFmtId="164" fontId="5" fillId="35" borderId="12" xfId="55" applyNumberFormat="1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13" fillId="35" borderId="12" xfId="0" applyNumberFormat="1" applyFont="1" applyFill="1" applyBorder="1" applyAlignment="1">
      <alignment/>
    </xf>
    <xf numFmtId="2" fontId="5" fillId="34" borderId="12" xfId="0" applyNumberFormat="1" applyFont="1" applyFill="1" applyBorder="1" applyAlignment="1">
      <alignment horizontal="right"/>
    </xf>
    <xf numFmtId="164" fontId="5" fillId="34" borderId="12" xfId="55" applyNumberFormat="1" applyFont="1" applyFill="1" applyBorder="1" applyAlignment="1">
      <alignment/>
    </xf>
    <xf numFmtId="165" fontId="5" fillId="35" borderId="12" xfId="0" applyNumberFormat="1" applyFont="1" applyFill="1" applyBorder="1" applyAlignment="1">
      <alignment/>
    </xf>
    <xf numFmtId="164" fontId="5" fillId="35" borderId="12" xfId="55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2" fontId="5" fillId="33" borderId="12" xfId="0" applyNumberFormat="1" applyFont="1" applyFill="1" applyBorder="1" applyAlignment="1">
      <alignment horizontal="right" vertical="center" wrapText="1"/>
    </xf>
    <xf numFmtId="165" fontId="5" fillId="33" borderId="12" xfId="0" applyNumberFormat="1" applyFont="1" applyFill="1" applyBorder="1" applyAlignment="1">
      <alignment/>
    </xf>
    <xf numFmtId="164" fontId="5" fillId="33" borderId="12" xfId="55" applyNumberFormat="1" applyFont="1" applyFill="1" applyBorder="1" applyAlignment="1">
      <alignment/>
    </xf>
    <xf numFmtId="165" fontId="5" fillId="33" borderId="12" xfId="0" applyNumberFormat="1" applyFont="1" applyFill="1" applyBorder="1" applyAlignment="1">
      <alignment horizontal="right" vertical="center" wrapText="1"/>
    </xf>
    <xf numFmtId="0" fontId="5" fillId="35" borderId="12" xfId="0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165" fontId="5" fillId="35" borderId="12" xfId="0" applyNumberFormat="1" applyFont="1" applyFill="1" applyBorder="1" applyAlignment="1">
      <alignment horizontal="right" vertical="center" wrapText="1"/>
    </xf>
    <xf numFmtId="0" fontId="13" fillId="35" borderId="12" xfId="0" applyFont="1" applyFill="1" applyBorder="1" applyAlignment="1">
      <alignment/>
    </xf>
    <xf numFmtId="166" fontId="5" fillId="34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65" fontId="5" fillId="0" borderId="12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166" fontId="5" fillId="36" borderId="12" xfId="0" applyNumberFormat="1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2" xfId="0" applyFont="1" applyFill="1" applyBorder="1" applyAlignment="1">
      <alignment horizontal="right"/>
    </xf>
    <xf numFmtId="165" fontId="5" fillId="36" borderId="12" xfId="0" applyNumberFormat="1" applyFont="1" applyFill="1" applyBorder="1" applyAlignment="1">
      <alignment/>
    </xf>
    <xf numFmtId="164" fontId="5" fillId="36" borderId="12" xfId="55" applyNumberFormat="1" applyFont="1" applyFill="1" applyBorder="1" applyAlignment="1">
      <alignment/>
    </xf>
    <xf numFmtId="166" fontId="5" fillId="33" borderId="12" xfId="0" applyNumberFormat="1" applyFont="1" applyFill="1" applyBorder="1" applyAlignment="1">
      <alignment/>
    </xf>
    <xf numFmtId="2" fontId="5" fillId="33" borderId="12" xfId="0" applyNumberFormat="1" applyFont="1" applyFill="1" applyBorder="1" applyAlignment="1">
      <alignment/>
    </xf>
    <xf numFmtId="166" fontId="5" fillId="33" borderId="12" xfId="0" applyNumberFormat="1" applyFont="1" applyFill="1" applyBorder="1" applyAlignment="1">
      <alignment horizontal="right" vertical="center" wrapText="1"/>
    </xf>
    <xf numFmtId="165" fontId="5" fillId="34" borderId="12" xfId="0" applyNumberFormat="1" applyFont="1" applyFill="1" applyBorder="1" applyAlignment="1">
      <alignment horizontal="right"/>
    </xf>
    <xf numFmtId="165" fontId="11" fillId="34" borderId="12" xfId="0" applyNumberFormat="1" applyFont="1" applyFill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5" fillId="35" borderId="12" xfId="0" applyNumberFormat="1" applyFont="1" applyFill="1" applyBorder="1" applyAlignment="1">
      <alignment/>
    </xf>
    <xf numFmtId="166" fontId="5" fillId="34" borderId="12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2" fontId="13" fillId="35" borderId="12" xfId="0" applyNumberFormat="1" applyFont="1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SheetLayoutView="50" zoomScalePageLayoutView="0" workbookViewId="0" topLeftCell="A1">
      <pane xSplit="2" ySplit="4" topLeftCell="E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6" sqref="R6:R30"/>
    </sheetView>
  </sheetViews>
  <sheetFormatPr defaultColWidth="9.00390625" defaultRowHeight="12.75"/>
  <cols>
    <col min="1" max="1" width="36.25390625" style="0" customWidth="1"/>
    <col min="2" max="2" width="13.375" style="0" customWidth="1"/>
    <col min="3" max="3" width="15.625" style="0" customWidth="1"/>
    <col min="4" max="4" width="12.25390625" style="0" customWidth="1"/>
    <col min="5" max="5" width="14.375" style="0" customWidth="1"/>
    <col min="6" max="6" width="12.125" style="0" customWidth="1"/>
    <col min="7" max="7" width="12.375" style="0" customWidth="1"/>
    <col min="8" max="8" width="12.625" style="0" customWidth="1"/>
    <col min="9" max="9" width="12.00390625" style="0" customWidth="1"/>
    <col min="10" max="10" width="10.875" style="0" customWidth="1"/>
    <col min="11" max="11" width="12.125" style="0" customWidth="1"/>
    <col min="12" max="12" width="12.75390625" style="0" customWidth="1"/>
    <col min="13" max="13" width="11.375" style="0" customWidth="1"/>
    <col min="14" max="14" width="10.875" style="0" customWidth="1"/>
    <col min="15" max="15" width="12.00390625" style="0" customWidth="1"/>
    <col min="16" max="16" width="12.625" style="0" customWidth="1"/>
    <col min="17" max="17" width="12.75390625" style="0" customWidth="1"/>
    <col min="18" max="18" width="10.75390625" style="0" customWidth="1"/>
    <col min="19" max="20" width="9.25390625" style="0" bestFit="1" customWidth="1"/>
  </cols>
  <sheetData>
    <row r="1" spans="1:13" ht="24.75" customHeight="1">
      <c r="A1" s="137" t="s">
        <v>112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8" ht="20.25" customHeight="1">
      <c r="A2" s="136" t="s">
        <v>30</v>
      </c>
      <c r="B2" s="136" t="s">
        <v>4</v>
      </c>
      <c r="C2" s="136" t="s">
        <v>102</v>
      </c>
      <c r="D2" s="136" t="s">
        <v>26</v>
      </c>
      <c r="E2" s="136" t="s">
        <v>103</v>
      </c>
      <c r="F2" s="136" t="s">
        <v>105</v>
      </c>
      <c r="G2" s="136" t="s">
        <v>106</v>
      </c>
      <c r="H2" s="136" t="s">
        <v>104</v>
      </c>
      <c r="I2" s="136"/>
      <c r="J2" s="136"/>
      <c r="K2" s="136" t="s">
        <v>53</v>
      </c>
      <c r="L2" s="136"/>
      <c r="M2" s="136" t="s">
        <v>108</v>
      </c>
      <c r="N2" s="136" t="s">
        <v>109</v>
      </c>
      <c r="O2" s="136" t="s">
        <v>32</v>
      </c>
      <c r="P2" s="136" t="s">
        <v>9</v>
      </c>
      <c r="Q2" s="136"/>
      <c r="R2" s="136"/>
    </row>
    <row r="3" spans="1:18" ht="97.5" customHeight="1">
      <c r="A3" s="136"/>
      <c r="B3" s="136"/>
      <c r="C3" s="136"/>
      <c r="D3" s="136"/>
      <c r="E3" s="136"/>
      <c r="F3" s="136"/>
      <c r="G3" s="136"/>
      <c r="H3" s="47" t="s">
        <v>107</v>
      </c>
      <c r="I3" s="47" t="s">
        <v>10</v>
      </c>
      <c r="J3" s="47" t="s">
        <v>31</v>
      </c>
      <c r="K3" s="47" t="s">
        <v>107</v>
      </c>
      <c r="L3" s="47" t="s">
        <v>32</v>
      </c>
      <c r="M3" s="136"/>
      <c r="N3" s="136"/>
      <c r="O3" s="136"/>
      <c r="P3" s="129" t="s">
        <v>101</v>
      </c>
      <c r="Q3" s="129" t="s">
        <v>110</v>
      </c>
      <c r="R3" s="129" t="s">
        <v>113</v>
      </c>
    </row>
    <row r="4" spans="1:18" ht="18.75">
      <c r="A4" s="35" t="s">
        <v>23</v>
      </c>
      <c r="B4" s="36"/>
      <c r="C4" s="56">
        <f aca="true" t="shared" si="0" ref="C4:H4">C5+C10+C15+C21+C22+C23</f>
        <v>36446.6</v>
      </c>
      <c r="D4" s="56">
        <f t="shared" si="0"/>
        <v>-600</v>
      </c>
      <c r="E4" s="56">
        <f t="shared" si="0"/>
        <v>35846.6</v>
      </c>
      <c r="F4" s="56">
        <f t="shared" si="0"/>
        <v>8918.4</v>
      </c>
      <c r="G4" s="56">
        <f t="shared" si="0"/>
        <v>4842.3</v>
      </c>
      <c r="H4" s="56">
        <f t="shared" si="0"/>
        <v>8926.4</v>
      </c>
      <c r="I4" s="57">
        <f>IF(E4&gt;0,H4/E4,0)</f>
        <v>0.2490166431404931</v>
      </c>
      <c r="J4" s="57">
        <f>IF(F4&gt;0,H4/F4,0)</f>
        <v>1.000897021887334</v>
      </c>
      <c r="K4" s="56">
        <f>K5+K10+K15+K21+K22+K23</f>
        <v>7625.799999999999</v>
      </c>
      <c r="L4" s="57">
        <f aca="true" t="shared" si="1" ref="L4:L48">IF(K4&gt;0,H4/K4,0)</f>
        <v>1.1705525977602351</v>
      </c>
      <c r="M4" s="56">
        <f>M5+M10+M15+M21+M22+M23</f>
        <v>4084.1000000000004</v>
      </c>
      <c r="N4" s="56">
        <f>N5+N10+N15+N21+N22+N23</f>
        <v>2785.0999999999995</v>
      </c>
      <c r="O4" s="57">
        <f aca="true" t="shared" si="2" ref="O4:O48">IF(N4&gt;0,M4/N4,0)</f>
        <v>1.4664105418117845</v>
      </c>
      <c r="P4" s="56">
        <f>P5+P10+P15+P21+P22+P23</f>
        <v>773.1</v>
      </c>
      <c r="Q4" s="56">
        <f>Q5+Q10+Q15+Q21+Q22+Q23</f>
        <v>713.7</v>
      </c>
      <c r="R4" s="56">
        <f>R5+R10+R15+R21+R22+R23</f>
        <v>2507.1000000000004</v>
      </c>
    </row>
    <row r="5" spans="1:18" ht="18.75">
      <c r="A5" s="37" t="s">
        <v>69</v>
      </c>
      <c r="B5" s="38">
        <v>1010200001</v>
      </c>
      <c r="C5" s="58">
        <f aca="true" t="shared" si="3" ref="C5:H5">SUM(C6:C9)</f>
        <v>16370.300000000001</v>
      </c>
      <c r="D5" s="58">
        <f t="shared" si="3"/>
        <v>-600</v>
      </c>
      <c r="E5" s="58">
        <f t="shared" si="3"/>
        <v>15770.300000000001</v>
      </c>
      <c r="F5" s="58">
        <f t="shared" si="3"/>
        <v>3050</v>
      </c>
      <c r="G5" s="58">
        <f t="shared" si="3"/>
        <v>1829.1999999999998</v>
      </c>
      <c r="H5" s="58">
        <f t="shared" si="3"/>
        <v>3051.1000000000004</v>
      </c>
      <c r="I5" s="59">
        <f>IF(E5&gt;0,H5/E5,0)</f>
        <v>0.1934712719479021</v>
      </c>
      <c r="J5" s="59">
        <f>IF(F5&gt;0,H5/F5,0)</f>
        <v>1.000360655737705</v>
      </c>
      <c r="K5" s="58">
        <f>SUM(K6:K9)</f>
        <v>2994.9999999999995</v>
      </c>
      <c r="L5" s="59">
        <f t="shared" si="1"/>
        <v>1.01873121869783</v>
      </c>
      <c r="M5" s="58">
        <f>SUM(M6:M9)</f>
        <v>1221.9</v>
      </c>
      <c r="N5" s="58">
        <f>SUM(N6:N9)</f>
        <v>1128.1</v>
      </c>
      <c r="O5" s="59">
        <f t="shared" si="2"/>
        <v>1.083148657033951</v>
      </c>
      <c r="P5" s="58">
        <f>SUM(P6:P9)</f>
        <v>47.99999999999999</v>
      </c>
      <c r="Q5" s="58">
        <f>SUM(Q6:Q9)</f>
        <v>47.699999999999996</v>
      </c>
      <c r="R5" s="58">
        <f>SUM(R6:R9)</f>
        <v>50.9</v>
      </c>
    </row>
    <row r="6" spans="1:18" ht="18.75" customHeight="1">
      <c r="A6" s="40" t="s">
        <v>44</v>
      </c>
      <c r="B6" s="8">
        <v>1010201001</v>
      </c>
      <c r="C6" s="60">
        <v>16223.3</v>
      </c>
      <c r="D6" s="61">
        <f>-600</f>
        <v>-600</v>
      </c>
      <c r="E6" s="61">
        <f>C6+D6</f>
        <v>15623.3</v>
      </c>
      <c r="F6" s="61">
        <f>2700+342</f>
        <v>3042</v>
      </c>
      <c r="G6" s="61">
        <v>1826.6</v>
      </c>
      <c r="H6" s="61">
        <f>G6+M6</f>
        <v>3042.3</v>
      </c>
      <c r="I6" s="62">
        <f aca="true" t="shared" si="4" ref="I6:I48">IF(E6&gt;0,H6/E6,0)</f>
        <v>0.19472838644844562</v>
      </c>
      <c r="J6" s="62">
        <f aca="true" t="shared" si="5" ref="J6:J48">IF(F6&gt;0,H6/F6,0)</f>
        <v>1.0000986193293886</v>
      </c>
      <c r="K6" s="61">
        <v>2990.2</v>
      </c>
      <c r="L6" s="62">
        <f t="shared" si="1"/>
        <v>1.0174235837067755</v>
      </c>
      <c r="M6" s="61">
        <v>1215.7</v>
      </c>
      <c r="N6" s="61">
        <v>1124.6</v>
      </c>
      <c r="O6" s="62">
        <f t="shared" si="2"/>
        <v>1.0810065801173752</v>
      </c>
      <c r="P6" s="61">
        <v>42.3</v>
      </c>
      <c r="Q6" s="61">
        <v>42.3</v>
      </c>
      <c r="R6" s="61">
        <v>45.5</v>
      </c>
    </row>
    <row r="7" spans="1:18" ht="15.75" customHeight="1">
      <c r="A7" s="40" t="s">
        <v>45</v>
      </c>
      <c r="B7" s="8">
        <v>1010202001</v>
      </c>
      <c r="C7" s="60">
        <v>26.1</v>
      </c>
      <c r="D7" s="61"/>
      <c r="E7" s="61">
        <f aca="true" t="shared" si="6" ref="E7:E23">C7+D7</f>
        <v>26.1</v>
      </c>
      <c r="F7" s="61"/>
      <c r="G7" s="61"/>
      <c r="H7" s="61">
        <f>G7+M7</f>
        <v>0</v>
      </c>
      <c r="I7" s="62">
        <f t="shared" si="4"/>
        <v>0</v>
      </c>
      <c r="J7" s="62">
        <f t="shared" si="5"/>
        <v>0</v>
      </c>
      <c r="K7" s="61">
        <v>0.1</v>
      </c>
      <c r="L7" s="62">
        <f t="shared" si="1"/>
        <v>0</v>
      </c>
      <c r="M7" s="61"/>
      <c r="N7" s="61"/>
      <c r="O7" s="62">
        <f t="shared" si="2"/>
        <v>0</v>
      </c>
      <c r="P7" s="61">
        <v>4.4</v>
      </c>
      <c r="Q7" s="61">
        <v>4.4</v>
      </c>
      <c r="R7" s="61">
        <v>4.4</v>
      </c>
    </row>
    <row r="8" spans="1:18" ht="17.25" customHeight="1">
      <c r="A8" s="40" t="s">
        <v>46</v>
      </c>
      <c r="B8" s="8">
        <v>1010203001</v>
      </c>
      <c r="C8" s="60">
        <v>118.7</v>
      </c>
      <c r="D8" s="61"/>
      <c r="E8" s="61">
        <f t="shared" si="6"/>
        <v>118.7</v>
      </c>
      <c r="F8" s="61">
        <v>2</v>
      </c>
      <c r="G8" s="61">
        <v>2</v>
      </c>
      <c r="H8" s="61">
        <f>G8+M8</f>
        <v>2</v>
      </c>
      <c r="I8" s="62">
        <f t="shared" si="4"/>
        <v>0.016849199663016005</v>
      </c>
      <c r="J8" s="62">
        <f t="shared" si="5"/>
        <v>1</v>
      </c>
      <c r="K8" s="61">
        <v>4.6</v>
      </c>
      <c r="L8" s="62">
        <f t="shared" si="1"/>
        <v>0.4347826086956522</v>
      </c>
      <c r="M8" s="61"/>
      <c r="N8" s="61">
        <v>3.5</v>
      </c>
      <c r="O8" s="62">
        <f t="shared" si="2"/>
        <v>0</v>
      </c>
      <c r="P8" s="61">
        <v>1.3</v>
      </c>
      <c r="Q8" s="61">
        <v>1</v>
      </c>
      <c r="R8" s="61">
        <v>1</v>
      </c>
    </row>
    <row r="9" spans="1:18" ht="18.75" customHeight="1">
      <c r="A9" s="40" t="s">
        <v>36</v>
      </c>
      <c r="B9" s="8">
        <v>1010204001</v>
      </c>
      <c r="C9" s="60">
        <v>2.2</v>
      </c>
      <c r="D9" s="61"/>
      <c r="E9" s="61">
        <f t="shared" si="6"/>
        <v>2.2</v>
      </c>
      <c r="F9" s="61">
        <v>6</v>
      </c>
      <c r="G9" s="61">
        <v>0.6</v>
      </c>
      <c r="H9" s="61">
        <f>G9+M9</f>
        <v>6.8</v>
      </c>
      <c r="I9" s="62">
        <f t="shared" si="4"/>
        <v>3.0909090909090904</v>
      </c>
      <c r="J9" s="62">
        <f t="shared" si="5"/>
        <v>1.1333333333333333</v>
      </c>
      <c r="K9" s="61">
        <v>0.1</v>
      </c>
      <c r="L9" s="62">
        <f t="shared" si="1"/>
        <v>68</v>
      </c>
      <c r="M9" s="61">
        <v>6.2</v>
      </c>
      <c r="N9" s="61"/>
      <c r="O9" s="62">
        <f t="shared" si="2"/>
        <v>0</v>
      </c>
      <c r="P9" s="61"/>
      <c r="Q9" s="61"/>
      <c r="R9" s="61"/>
    </row>
    <row r="10" spans="1:18" ht="18" customHeight="1">
      <c r="A10" s="37" t="s">
        <v>54</v>
      </c>
      <c r="B10" s="39">
        <v>1030200001</v>
      </c>
      <c r="C10" s="58">
        <f aca="true" t="shared" si="7" ref="C10:H10">SUM(C11:C14)</f>
        <v>4514.5</v>
      </c>
      <c r="D10" s="58">
        <f t="shared" si="7"/>
        <v>0</v>
      </c>
      <c r="E10" s="58">
        <f t="shared" si="7"/>
        <v>4514.5</v>
      </c>
      <c r="F10" s="58">
        <f>925+200+490</f>
        <v>1615</v>
      </c>
      <c r="G10" s="58">
        <f>SUM(G11:G14)</f>
        <v>689.0999999999999</v>
      </c>
      <c r="H10" s="58">
        <f t="shared" si="7"/>
        <v>1615.6000000000001</v>
      </c>
      <c r="I10" s="59">
        <f t="shared" si="4"/>
        <v>0.3578690884926349</v>
      </c>
      <c r="J10" s="59">
        <f t="shared" si="5"/>
        <v>1.0003715170278638</v>
      </c>
      <c r="K10" s="58">
        <f>SUM(K11:K14)</f>
        <v>1431.7</v>
      </c>
      <c r="L10" s="59">
        <f t="shared" si="1"/>
        <v>1.1284486973527974</v>
      </c>
      <c r="M10" s="58">
        <f>SUM(M11:M14)</f>
        <v>926.5</v>
      </c>
      <c r="N10" s="58">
        <f>SUM(N11:N14)</f>
        <v>499.1</v>
      </c>
      <c r="O10" s="59">
        <f t="shared" si="2"/>
        <v>1.856341414546183</v>
      </c>
      <c r="P10" s="58">
        <f>SUM(P11:P14)</f>
        <v>0</v>
      </c>
      <c r="Q10" s="58">
        <f>SUM(Q11:Q14)</f>
        <v>0</v>
      </c>
      <c r="R10" s="58">
        <f>SUM(R11:R14)</f>
        <v>0</v>
      </c>
    </row>
    <row r="11" spans="1:18" ht="18.75">
      <c r="A11" s="41" t="s">
        <v>55</v>
      </c>
      <c r="B11" s="41">
        <v>1030223001</v>
      </c>
      <c r="C11" s="60">
        <v>1355.7</v>
      </c>
      <c r="D11" s="61"/>
      <c r="E11" s="61">
        <f t="shared" si="6"/>
        <v>1355.7</v>
      </c>
      <c r="F11" s="61"/>
      <c r="G11" s="61">
        <v>259.7</v>
      </c>
      <c r="H11" s="61">
        <f>G11+M11</f>
        <v>546.2</v>
      </c>
      <c r="I11" s="62">
        <f t="shared" si="4"/>
        <v>0.4028914951685476</v>
      </c>
      <c r="J11" s="62">
        <f t="shared" si="5"/>
        <v>0</v>
      </c>
      <c r="K11" s="61">
        <v>566.6</v>
      </c>
      <c r="L11" s="62">
        <f t="shared" si="1"/>
        <v>0.9639957642075538</v>
      </c>
      <c r="M11" s="61">
        <v>286.5</v>
      </c>
      <c r="N11" s="61">
        <v>205</v>
      </c>
      <c r="O11" s="62">
        <f t="shared" si="2"/>
        <v>1.397560975609756</v>
      </c>
      <c r="P11" s="61"/>
      <c r="Q11" s="61"/>
      <c r="R11" s="61"/>
    </row>
    <row r="12" spans="1:18" ht="18.75">
      <c r="A12" s="41" t="s">
        <v>56</v>
      </c>
      <c r="B12" s="41">
        <v>1030224001</v>
      </c>
      <c r="C12" s="60">
        <v>46.5</v>
      </c>
      <c r="D12" s="61"/>
      <c r="E12" s="61">
        <f t="shared" si="6"/>
        <v>46.5</v>
      </c>
      <c r="F12" s="61"/>
      <c r="G12" s="61">
        <v>6.2</v>
      </c>
      <c r="H12" s="61">
        <f>G12+M12</f>
        <v>12.2</v>
      </c>
      <c r="I12" s="62">
        <f t="shared" si="4"/>
        <v>0.26236559139784943</v>
      </c>
      <c r="J12" s="62">
        <f t="shared" si="5"/>
        <v>0</v>
      </c>
      <c r="K12" s="61">
        <v>9</v>
      </c>
      <c r="L12" s="62">
        <f t="shared" si="1"/>
        <v>1.3555555555555554</v>
      </c>
      <c r="M12" s="61">
        <v>6</v>
      </c>
      <c r="N12" s="61">
        <v>3.5</v>
      </c>
      <c r="O12" s="62">
        <f t="shared" si="2"/>
        <v>1.7142857142857142</v>
      </c>
      <c r="P12" s="61"/>
      <c r="Q12" s="61"/>
      <c r="R12" s="61"/>
    </row>
    <row r="13" spans="1:18" ht="18.75" customHeight="1">
      <c r="A13" s="41" t="s">
        <v>57</v>
      </c>
      <c r="B13" s="41">
        <v>1030225001</v>
      </c>
      <c r="C13" s="60">
        <v>3037.4</v>
      </c>
      <c r="D13" s="61"/>
      <c r="E13" s="61">
        <f t="shared" si="6"/>
        <v>3037.4</v>
      </c>
      <c r="F13" s="61"/>
      <c r="G13" s="61">
        <v>451.9</v>
      </c>
      <c r="H13" s="61">
        <f>G13+M13</f>
        <v>1092.8</v>
      </c>
      <c r="I13" s="62">
        <f t="shared" si="4"/>
        <v>0.3597813919799829</v>
      </c>
      <c r="J13" s="62">
        <f t="shared" si="5"/>
        <v>0</v>
      </c>
      <c r="K13" s="61">
        <v>856.1</v>
      </c>
      <c r="L13" s="62">
        <f t="shared" si="1"/>
        <v>1.2764863917766616</v>
      </c>
      <c r="M13" s="61">
        <v>640.9</v>
      </c>
      <c r="N13" s="61">
        <v>290.6</v>
      </c>
      <c r="O13" s="62">
        <f t="shared" si="2"/>
        <v>2.205437026841018</v>
      </c>
      <c r="P13" s="61"/>
      <c r="Q13" s="61"/>
      <c r="R13" s="61"/>
    </row>
    <row r="14" spans="1:18" ht="18.75" customHeight="1">
      <c r="A14" s="41" t="s">
        <v>58</v>
      </c>
      <c r="B14" s="41">
        <v>1030226001</v>
      </c>
      <c r="C14" s="60">
        <v>74.9</v>
      </c>
      <c r="D14" s="61"/>
      <c r="E14" s="61">
        <f t="shared" si="6"/>
        <v>74.9</v>
      </c>
      <c r="F14" s="61"/>
      <c r="G14" s="61">
        <v>-28.7</v>
      </c>
      <c r="H14" s="61">
        <f>G14+M14</f>
        <v>-35.6</v>
      </c>
      <c r="I14" s="62">
        <f t="shared" si="4"/>
        <v>-0.4753004005340454</v>
      </c>
      <c r="J14" s="62">
        <f t="shared" si="5"/>
        <v>0</v>
      </c>
      <c r="K14" s="61"/>
      <c r="L14" s="62">
        <f t="shared" si="1"/>
        <v>0</v>
      </c>
      <c r="M14" s="61">
        <v>-6.9</v>
      </c>
      <c r="N14" s="61"/>
      <c r="O14" s="62">
        <f t="shared" si="2"/>
        <v>0</v>
      </c>
      <c r="P14" s="61"/>
      <c r="Q14" s="61"/>
      <c r="R14" s="61"/>
    </row>
    <row r="15" spans="1:18" ht="18.75">
      <c r="A15" s="37" t="s">
        <v>61</v>
      </c>
      <c r="B15" s="38">
        <v>1050000000</v>
      </c>
      <c r="C15" s="58">
        <f aca="true" t="shared" si="8" ref="C15:H15">SUM(C16:C20)</f>
        <v>12115.6</v>
      </c>
      <c r="D15" s="58">
        <f t="shared" si="8"/>
        <v>0</v>
      </c>
      <c r="E15" s="58">
        <f t="shared" si="8"/>
        <v>12115.6</v>
      </c>
      <c r="F15" s="58">
        <f t="shared" si="8"/>
        <v>3751.4</v>
      </c>
      <c r="G15" s="58">
        <f>SUM(G16:G20)</f>
        <v>2231.2999999999997</v>
      </c>
      <c r="H15" s="58">
        <f t="shared" si="8"/>
        <v>3756</v>
      </c>
      <c r="I15" s="59">
        <f t="shared" si="4"/>
        <v>0.3100135362672917</v>
      </c>
      <c r="J15" s="59">
        <f t="shared" si="5"/>
        <v>1.0012262088820174</v>
      </c>
      <c r="K15" s="58">
        <f>SUM(K16:K20)</f>
        <v>2783.5</v>
      </c>
      <c r="L15" s="59">
        <f t="shared" si="1"/>
        <v>1.349380276630142</v>
      </c>
      <c r="M15" s="58">
        <f>SUM(M16:M20)</f>
        <v>1524.7</v>
      </c>
      <c r="N15" s="58">
        <f>SUM(N16:N20)</f>
        <v>1052.3999999999999</v>
      </c>
      <c r="O15" s="59">
        <f t="shared" si="2"/>
        <v>1.4487837324211328</v>
      </c>
      <c r="P15" s="58">
        <f>SUM(P16:P20)</f>
        <v>650.6</v>
      </c>
      <c r="Q15" s="58">
        <f>SUM(Q16:Q20)</f>
        <v>591.7</v>
      </c>
      <c r="R15" s="58">
        <f>SUM(R16:R20)</f>
        <v>2381.9</v>
      </c>
    </row>
    <row r="16" spans="1:18" ht="18.75">
      <c r="A16" s="40" t="s">
        <v>59</v>
      </c>
      <c r="B16" s="8">
        <v>1050101001</v>
      </c>
      <c r="C16" s="60">
        <v>5804.2</v>
      </c>
      <c r="D16" s="61"/>
      <c r="E16" s="61">
        <f t="shared" si="6"/>
        <v>5804.2</v>
      </c>
      <c r="F16" s="61">
        <f>1100+1131</f>
        <v>2231</v>
      </c>
      <c r="G16" s="61">
        <v>982.6</v>
      </c>
      <c r="H16" s="61">
        <f aca="true" t="shared" si="9" ref="H16:H23">G16+M16</f>
        <v>2234.8</v>
      </c>
      <c r="I16" s="62">
        <f t="shared" si="4"/>
        <v>0.38503152889287073</v>
      </c>
      <c r="J16" s="62">
        <f t="shared" si="5"/>
        <v>1.0017032720753027</v>
      </c>
      <c r="K16" s="61">
        <v>1535.7</v>
      </c>
      <c r="L16" s="62">
        <f t="shared" si="1"/>
        <v>1.4552321416943415</v>
      </c>
      <c r="M16" s="61">
        <v>1252.2</v>
      </c>
      <c r="N16" s="61">
        <v>917.6</v>
      </c>
      <c r="O16" s="62">
        <f t="shared" si="2"/>
        <v>1.3646469049694856</v>
      </c>
      <c r="P16" s="61">
        <v>475.8</v>
      </c>
      <c r="Q16" s="61">
        <v>494.3</v>
      </c>
      <c r="R16" s="61">
        <v>2054.9</v>
      </c>
    </row>
    <row r="17" spans="1:18" ht="18.75">
      <c r="A17" s="40" t="s">
        <v>60</v>
      </c>
      <c r="B17" s="8">
        <v>1050102001</v>
      </c>
      <c r="C17" s="60">
        <v>2313</v>
      </c>
      <c r="D17" s="61"/>
      <c r="E17" s="61">
        <f t="shared" si="6"/>
        <v>2313</v>
      </c>
      <c r="F17" s="61">
        <f>100+159</f>
        <v>259</v>
      </c>
      <c r="G17" s="61">
        <v>20</v>
      </c>
      <c r="H17" s="61">
        <f t="shared" si="9"/>
        <v>259.1</v>
      </c>
      <c r="I17" s="62">
        <f t="shared" si="4"/>
        <v>0.11201902291396455</v>
      </c>
      <c r="J17" s="62">
        <f t="shared" si="5"/>
        <v>1.0003861003861005</v>
      </c>
      <c r="K17" s="61">
        <v>168.9</v>
      </c>
      <c r="L17" s="62">
        <f t="shared" si="1"/>
        <v>1.5340438129070457</v>
      </c>
      <c r="M17" s="61">
        <v>239.1</v>
      </c>
      <c r="N17" s="61">
        <v>105.8</v>
      </c>
      <c r="O17" s="62">
        <f t="shared" si="2"/>
        <v>2.2599243856332705</v>
      </c>
      <c r="P17" s="61">
        <v>46.7</v>
      </c>
      <c r="Q17" s="61">
        <v>46.8</v>
      </c>
      <c r="R17" s="61">
        <v>276.3</v>
      </c>
    </row>
    <row r="18" spans="1:18" ht="18.75">
      <c r="A18" s="40" t="s">
        <v>0</v>
      </c>
      <c r="B18" s="8">
        <v>1050200002</v>
      </c>
      <c r="C18" s="60">
        <v>3919.5</v>
      </c>
      <c r="D18" s="61"/>
      <c r="E18" s="61">
        <f t="shared" si="6"/>
        <v>3919.5</v>
      </c>
      <c r="F18" s="61">
        <f>1000+126+65</f>
        <v>1191</v>
      </c>
      <c r="G18" s="61">
        <v>1170</v>
      </c>
      <c r="H18" s="61">
        <f t="shared" si="9"/>
        <v>1191.5</v>
      </c>
      <c r="I18" s="62">
        <f t="shared" si="4"/>
        <v>0.3039928562316622</v>
      </c>
      <c r="J18" s="62">
        <f t="shared" si="5"/>
        <v>1.0004198152812762</v>
      </c>
      <c r="K18" s="61">
        <v>992.3</v>
      </c>
      <c r="L18" s="62">
        <f t="shared" si="1"/>
        <v>1.200745742215056</v>
      </c>
      <c r="M18" s="61">
        <v>21.5</v>
      </c>
      <c r="N18" s="61">
        <v>4.4</v>
      </c>
      <c r="O18" s="62">
        <f t="shared" si="2"/>
        <v>4.886363636363636</v>
      </c>
      <c r="P18" s="61">
        <v>128.1</v>
      </c>
      <c r="Q18" s="61">
        <v>41</v>
      </c>
      <c r="R18" s="61">
        <v>24.5</v>
      </c>
    </row>
    <row r="19" spans="1:18" ht="18.75">
      <c r="A19" s="40" t="s">
        <v>7</v>
      </c>
      <c r="B19" s="8">
        <v>1050300001</v>
      </c>
      <c r="C19" s="60">
        <v>11</v>
      </c>
      <c r="D19" s="61"/>
      <c r="E19" s="61">
        <f t="shared" si="6"/>
        <v>11</v>
      </c>
      <c r="F19" s="61">
        <f>5.4</f>
        <v>5.4</v>
      </c>
      <c r="G19" s="61"/>
      <c r="H19" s="61">
        <f t="shared" si="9"/>
        <v>5.4</v>
      </c>
      <c r="I19" s="62">
        <f t="shared" si="4"/>
        <v>0.49090909090909096</v>
      </c>
      <c r="J19" s="62">
        <f t="shared" si="5"/>
        <v>1</v>
      </c>
      <c r="K19" s="61"/>
      <c r="L19" s="62">
        <f t="shared" si="1"/>
        <v>0</v>
      </c>
      <c r="M19" s="61">
        <v>5.4</v>
      </c>
      <c r="N19" s="61"/>
      <c r="O19" s="62">
        <f t="shared" si="2"/>
        <v>0</v>
      </c>
      <c r="P19" s="61"/>
      <c r="Q19" s="61">
        <v>9.6</v>
      </c>
      <c r="R19" s="61">
        <v>26.2</v>
      </c>
    </row>
    <row r="20" spans="1:18" ht="18.75">
      <c r="A20" s="40" t="s">
        <v>35</v>
      </c>
      <c r="B20" s="8">
        <v>1050402002</v>
      </c>
      <c r="C20" s="60">
        <v>67.9</v>
      </c>
      <c r="D20" s="61"/>
      <c r="E20" s="61">
        <f t="shared" si="6"/>
        <v>67.9</v>
      </c>
      <c r="F20" s="61">
        <f>50+15</f>
        <v>65</v>
      </c>
      <c r="G20" s="61">
        <v>58.7</v>
      </c>
      <c r="H20" s="61">
        <f t="shared" si="9"/>
        <v>65.2</v>
      </c>
      <c r="I20" s="62">
        <f t="shared" si="4"/>
        <v>0.9602356406480117</v>
      </c>
      <c r="J20" s="62">
        <f t="shared" si="5"/>
        <v>1.0030769230769232</v>
      </c>
      <c r="K20" s="61">
        <v>86.6</v>
      </c>
      <c r="L20" s="62">
        <f t="shared" si="1"/>
        <v>0.7528868360277137</v>
      </c>
      <c r="M20" s="61">
        <v>6.5</v>
      </c>
      <c r="N20" s="61">
        <v>24.6</v>
      </c>
      <c r="O20" s="62">
        <f t="shared" si="2"/>
        <v>0.26422764227642276</v>
      </c>
      <c r="P20" s="61"/>
      <c r="Q20" s="61"/>
      <c r="R20" s="61"/>
    </row>
    <row r="21" spans="1:18" ht="16.5" customHeight="1">
      <c r="A21" s="37" t="s">
        <v>63</v>
      </c>
      <c r="B21" s="38">
        <v>1060201002</v>
      </c>
      <c r="C21" s="58">
        <v>3046.2</v>
      </c>
      <c r="D21" s="63"/>
      <c r="E21" s="63">
        <f t="shared" si="6"/>
        <v>3046.2</v>
      </c>
      <c r="F21" s="63">
        <f>300+93</f>
        <v>393</v>
      </c>
      <c r="G21" s="63">
        <v>12.6</v>
      </c>
      <c r="H21" s="63">
        <f t="shared" si="9"/>
        <v>393.8</v>
      </c>
      <c r="I21" s="59">
        <f t="shared" si="4"/>
        <v>0.12927581905324667</v>
      </c>
      <c r="J21" s="59">
        <f t="shared" si="5"/>
        <v>1.0020356234096692</v>
      </c>
      <c r="K21" s="63">
        <v>299.9</v>
      </c>
      <c r="L21" s="59">
        <f t="shared" si="1"/>
        <v>1.3131043681227077</v>
      </c>
      <c r="M21" s="63">
        <v>381.2</v>
      </c>
      <c r="N21" s="63">
        <v>74.1</v>
      </c>
      <c r="O21" s="59">
        <f t="shared" si="2"/>
        <v>5.144399460188934</v>
      </c>
      <c r="P21" s="63">
        <v>74.5</v>
      </c>
      <c r="Q21" s="63">
        <v>74.3</v>
      </c>
      <c r="R21" s="63">
        <v>74.3</v>
      </c>
    </row>
    <row r="22" spans="1:18" ht="18.75">
      <c r="A22" s="37" t="s">
        <v>70</v>
      </c>
      <c r="B22" s="38">
        <v>1080000000</v>
      </c>
      <c r="C22" s="58">
        <v>400</v>
      </c>
      <c r="D22" s="63"/>
      <c r="E22" s="63">
        <f t="shared" si="6"/>
        <v>400</v>
      </c>
      <c r="F22" s="63">
        <f>75+34</f>
        <v>109</v>
      </c>
      <c r="G22" s="63">
        <v>80.1</v>
      </c>
      <c r="H22" s="63">
        <f t="shared" si="9"/>
        <v>109.89999999999999</v>
      </c>
      <c r="I22" s="59">
        <f t="shared" si="4"/>
        <v>0.27475</v>
      </c>
      <c r="J22" s="59">
        <f t="shared" si="5"/>
        <v>1.008256880733945</v>
      </c>
      <c r="K22" s="63">
        <v>115.7</v>
      </c>
      <c r="L22" s="59">
        <f t="shared" si="1"/>
        <v>0.9498703543647363</v>
      </c>
      <c r="M22" s="63">
        <v>29.8</v>
      </c>
      <c r="N22" s="63">
        <v>31.4</v>
      </c>
      <c r="O22" s="59">
        <f t="shared" si="2"/>
        <v>0.9490445859872612</v>
      </c>
      <c r="P22" s="63"/>
      <c r="Q22" s="63"/>
      <c r="R22" s="63"/>
    </row>
    <row r="23" spans="1:18" ht="19.5" customHeight="1">
      <c r="A23" s="37" t="s">
        <v>62</v>
      </c>
      <c r="B23" s="38">
        <v>1090000000</v>
      </c>
      <c r="C23" s="58"/>
      <c r="D23" s="63"/>
      <c r="E23" s="63">
        <f t="shared" si="6"/>
        <v>0</v>
      </c>
      <c r="F23" s="63"/>
      <c r="G23" s="63"/>
      <c r="H23" s="63">
        <f t="shared" si="9"/>
        <v>0</v>
      </c>
      <c r="I23" s="59">
        <f t="shared" si="4"/>
        <v>0</v>
      </c>
      <c r="J23" s="59">
        <f t="shared" si="5"/>
        <v>0</v>
      </c>
      <c r="K23" s="63"/>
      <c r="L23" s="59">
        <f t="shared" si="1"/>
        <v>0</v>
      </c>
      <c r="M23" s="63"/>
      <c r="N23" s="63"/>
      <c r="O23" s="59">
        <f t="shared" si="2"/>
        <v>0</v>
      </c>
      <c r="P23" s="63"/>
      <c r="Q23" s="63"/>
      <c r="R23" s="63"/>
    </row>
    <row r="24" spans="1:18" ht="18.75">
      <c r="A24" s="42" t="s">
        <v>24</v>
      </c>
      <c r="B24" s="43"/>
      <c r="C24" s="56">
        <f aca="true" t="shared" si="10" ref="C24:H24">C25+C31+C32+C36+C39+C40</f>
        <v>10763.9</v>
      </c>
      <c r="D24" s="56">
        <f t="shared" si="10"/>
        <v>0</v>
      </c>
      <c r="E24" s="56">
        <f t="shared" si="10"/>
        <v>10763.9</v>
      </c>
      <c r="F24" s="56">
        <f t="shared" si="10"/>
        <v>3086.4</v>
      </c>
      <c r="G24" s="56">
        <f>G25+G31+G32+G36+G39+G40</f>
        <v>2294.9</v>
      </c>
      <c r="H24" s="56">
        <f t="shared" si="10"/>
        <v>4120.5</v>
      </c>
      <c r="I24" s="57">
        <f t="shared" si="4"/>
        <v>0.382807346779513</v>
      </c>
      <c r="J24" s="57">
        <f t="shared" si="5"/>
        <v>1.3350505443234837</v>
      </c>
      <c r="K24" s="56">
        <f>K25+K31+K32+K36+K39+K40</f>
        <v>2851.2</v>
      </c>
      <c r="L24" s="57">
        <f t="shared" si="1"/>
        <v>1.4451809764309764</v>
      </c>
      <c r="M24" s="56">
        <f>M25+M31+M32+M36+M39+M40</f>
        <v>1825.6000000000001</v>
      </c>
      <c r="N24" s="56">
        <f>N25+N31+N32+N36+N39+N40</f>
        <v>1099.6999999999998</v>
      </c>
      <c r="O24" s="57">
        <f t="shared" si="2"/>
        <v>1.6600891152132404</v>
      </c>
      <c r="P24" s="56">
        <f>P25+P31+P32+P36+P39+P40</f>
        <v>727.6</v>
      </c>
      <c r="Q24" s="56">
        <f>Q25+Q31+Q32+Q36+Q39+Q40</f>
        <v>238.1</v>
      </c>
      <c r="R24" s="56">
        <f>R25+R31+R32+R36+R39+R40</f>
        <v>264.6</v>
      </c>
    </row>
    <row r="25" spans="1:18" ht="18.75">
      <c r="A25" s="44" t="s">
        <v>67</v>
      </c>
      <c r="B25" s="38">
        <v>1110000000</v>
      </c>
      <c r="C25" s="58">
        <f aca="true" t="shared" si="11" ref="C25:H25">SUM(C26:C30)</f>
        <v>2181.8999999999996</v>
      </c>
      <c r="D25" s="58">
        <f t="shared" si="11"/>
        <v>0</v>
      </c>
      <c r="E25" s="58">
        <f t="shared" si="11"/>
        <v>2181.8999999999996</v>
      </c>
      <c r="F25" s="58">
        <f t="shared" si="11"/>
        <v>815</v>
      </c>
      <c r="G25" s="58">
        <f>SUM(G26:G30)</f>
        <v>707.2</v>
      </c>
      <c r="H25" s="58">
        <f t="shared" si="11"/>
        <v>817.0000000000001</v>
      </c>
      <c r="I25" s="59">
        <f t="shared" si="4"/>
        <v>0.37444429167239573</v>
      </c>
      <c r="J25" s="59">
        <f t="shared" si="5"/>
        <v>1.0024539877300616</v>
      </c>
      <c r="K25" s="58">
        <f>SUM(K26:K30)</f>
        <v>329.5</v>
      </c>
      <c r="L25" s="59">
        <f t="shared" si="1"/>
        <v>2.4795144157814875</v>
      </c>
      <c r="M25" s="58">
        <f>SUM(M26:M30)</f>
        <v>109.80000000000001</v>
      </c>
      <c r="N25" s="58">
        <f>SUM(N26:N30)</f>
        <v>133.39999999999998</v>
      </c>
      <c r="O25" s="59">
        <f t="shared" si="2"/>
        <v>0.8230884557721142</v>
      </c>
      <c r="P25" s="58">
        <f>SUM(P26:P30)</f>
        <v>727.6</v>
      </c>
      <c r="Q25" s="58">
        <f>SUM(Q26:Q30)</f>
        <v>238.1</v>
      </c>
      <c r="R25" s="58">
        <f>SUM(R26:R30)</f>
        <v>264.6</v>
      </c>
    </row>
    <row r="26" spans="1:18" ht="18.75">
      <c r="A26" s="8" t="s">
        <v>22</v>
      </c>
      <c r="B26" s="8">
        <v>1110105005</v>
      </c>
      <c r="C26" s="60"/>
      <c r="D26" s="61"/>
      <c r="E26" s="61">
        <f aca="true" t="shared" si="12" ref="E26:E31">C26+D26</f>
        <v>0</v>
      </c>
      <c r="F26" s="61"/>
      <c r="G26" s="61"/>
      <c r="H26" s="61">
        <f aca="true" t="shared" si="13" ref="H26:H31">G26+M26</f>
        <v>0</v>
      </c>
      <c r="I26" s="62">
        <f t="shared" si="4"/>
        <v>0</v>
      </c>
      <c r="J26" s="62">
        <f t="shared" si="5"/>
        <v>0</v>
      </c>
      <c r="K26" s="61"/>
      <c r="L26" s="62">
        <f t="shared" si="1"/>
        <v>0</v>
      </c>
      <c r="M26" s="61"/>
      <c r="N26" s="61"/>
      <c r="O26" s="62">
        <f t="shared" si="2"/>
        <v>0</v>
      </c>
      <c r="P26" s="61"/>
      <c r="Q26" s="61"/>
      <c r="R26" s="61"/>
    </row>
    <row r="27" spans="1:18" ht="18.75">
      <c r="A27" s="8" t="s">
        <v>64</v>
      </c>
      <c r="B27" s="8">
        <v>1110501013</v>
      </c>
      <c r="C27" s="60">
        <v>1261.6</v>
      </c>
      <c r="D27" s="61"/>
      <c r="E27" s="61">
        <f t="shared" si="12"/>
        <v>1261.6</v>
      </c>
      <c r="F27" s="61">
        <f>60</f>
        <v>60</v>
      </c>
      <c r="G27" s="61">
        <v>29.9</v>
      </c>
      <c r="H27" s="61">
        <f t="shared" si="13"/>
        <v>52</v>
      </c>
      <c r="I27" s="62">
        <f t="shared" si="4"/>
        <v>0.04121750158528852</v>
      </c>
      <c r="J27" s="62">
        <f t="shared" si="5"/>
        <v>0.8666666666666667</v>
      </c>
      <c r="K27" s="61">
        <v>70.2</v>
      </c>
      <c r="L27" s="62">
        <f t="shared" si="1"/>
        <v>0.7407407407407407</v>
      </c>
      <c r="M27" s="61">
        <v>22.1</v>
      </c>
      <c r="N27" s="61">
        <v>1.7</v>
      </c>
      <c r="O27" s="62">
        <f t="shared" si="2"/>
        <v>13.000000000000002</v>
      </c>
      <c r="P27" s="61">
        <v>177.9</v>
      </c>
      <c r="Q27" s="61">
        <v>154.6</v>
      </c>
      <c r="R27" s="61">
        <v>157.6</v>
      </c>
    </row>
    <row r="28" spans="1:18" ht="18.75">
      <c r="A28" s="8" t="s">
        <v>65</v>
      </c>
      <c r="B28" s="8">
        <v>1110502505</v>
      </c>
      <c r="C28" s="60"/>
      <c r="D28" s="61"/>
      <c r="E28" s="61">
        <f t="shared" si="12"/>
        <v>0</v>
      </c>
      <c r="F28" s="61"/>
      <c r="G28" s="61">
        <v>8.1</v>
      </c>
      <c r="H28" s="61">
        <f t="shared" si="13"/>
        <v>8.1</v>
      </c>
      <c r="I28" s="62">
        <f t="shared" si="4"/>
        <v>0</v>
      </c>
      <c r="J28" s="62">
        <f t="shared" si="5"/>
        <v>0</v>
      </c>
      <c r="K28" s="61"/>
      <c r="L28" s="62">
        <f t="shared" si="1"/>
        <v>0</v>
      </c>
      <c r="M28" s="61"/>
      <c r="N28" s="61"/>
      <c r="O28" s="62">
        <f t="shared" si="2"/>
        <v>0</v>
      </c>
      <c r="P28" s="61">
        <v>8.1</v>
      </c>
      <c r="Q28" s="61"/>
      <c r="R28" s="61"/>
    </row>
    <row r="29" spans="1:18" ht="18.75">
      <c r="A29" s="8" t="s">
        <v>66</v>
      </c>
      <c r="B29" s="8">
        <v>1110503505</v>
      </c>
      <c r="C29" s="60">
        <v>920.3</v>
      </c>
      <c r="D29" s="61"/>
      <c r="E29" s="61">
        <f t="shared" si="12"/>
        <v>920.3</v>
      </c>
      <c r="F29" s="61">
        <f>250+140+365</f>
        <v>755</v>
      </c>
      <c r="G29" s="61">
        <v>669.2</v>
      </c>
      <c r="H29" s="61">
        <f t="shared" si="13"/>
        <v>756.9000000000001</v>
      </c>
      <c r="I29" s="62">
        <f t="shared" si="4"/>
        <v>0.8224492013473869</v>
      </c>
      <c r="J29" s="62">
        <f t="shared" si="5"/>
        <v>1.002516556291391</v>
      </c>
      <c r="K29" s="61">
        <v>253.4</v>
      </c>
      <c r="L29" s="62">
        <f t="shared" si="1"/>
        <v>2.986977111286504</v>
      </c>
      <c r="M29" s="61">
        <v>87.7</v>
      </c>
      <c r="N29" s="61">
        <v>131.7</v>
      </c>
      <c r="O29" s="62">
        <f t="shared" si="2"/>
        <v>0.665907365223994</v>
      </c>
      <c r="P29" s="61">
        <v>541.6</v>
      </c>
      <c r="Q29" s="61">
        <v>83.5</v>
      </c>
      <c r="R29" s="61">
        <v>107</v>
      </c>
    </row>
    <row r="30" spans="1:18" ht="18.75">
      <c r="A30" s="8" t="s">
        <v>25</v>
      </c>
      <c r="B30" s="8">
        <v>1110904505</v>
      </c>
      <c r="C30" s="60"/>
      <c r="D30" s="61"/>
      <c r="E30" s="61">
        <f t="shared" si="12"/>
        <v>0</v>
      </c>
      <c r="F30" s="61"/>
      <c r="G30" s="61"/>
      <c r="H30" s="61">
        <f t="shared" si="13"/>
        <v>0</v>
      </c>
      <c r="I30" s="62">
        <f t="shared" si="4"/>
        <v>0</v>
      </c>
      <c r="J30" s="62">
        <f t="shared" si="5"/>
        <v>0</v>
      </c>
      <c r="K30" s="61">
        <v>5.9</v>
      </c>
      <c r="L30" s="62">
        <f t="shared" si="1"/>
        <v>0</v>
      </c>
      <c r="M30" s="61"/>
      <c r="N30" s="61"/>
      <c r="O30" s="62">
        <f t="shared" si="2"/>
        <v>0</v>
      </c>
      <c r="P30" s="61"/>
      <c r="Q30" s="61"/>
      <c r="R30" s="61"/>
    </row>
    <row r="31" spans="1:18" ht="18.75">
      <c r="A31" s="44" t="s">
        <v>71</v>
      </c>
      <c r="B31" s="38">
        <v>1120100000</v>
      </c>
      <c r="C31" s="58">
        <v>199.5</v>
      </c>
      <c r="D31" s="63"/>
      <c r="E31" s="63">
        <f t="shared" si="12"/>
        <v>199.5</v>
      </c>
      <c r="F31" s="63">
        <v>30</v>
      </c>
      <c r="G31" s="63">
        <v>27.3</v>
      </c>
      <c r="H31" s="63">
        <f t="shared" si="13"/>
        <v>31.9</v>
      </c>
      <c r="I31" s="59">
        <f t="shared" si="4"/>
        <v>0.15989974937343357</v>
      </c>
      <c r="J31" s="59">
        <f t="shared" si="5"/>
        <v>1.0633333333333332</v>
      </c>
      <c r="K31" s="63">
        <v>35.3</v>
      </c>
      <c r="L31" s="59">
        <f t="shared" si="1"/>
        <v>0.9036827195467423</v>
      </c>
      <c r="M31" s="63">
        <v>4.6</v>
      </c>
      <c r="N31" s="63">
        <v>4</v>
      </c>
      <c r="O31" s="59">
        <f t="shared" si="2"/>
        <v>1.15</v>
      </c>
      <c r="P31" s="63"/>
      <c r="Q31" s="63"/>
      <c r="R31" s="63"/>
    </row>
    <row r="32" spans="1:18" ht="18.75">
      <c r="A32" s="44" t="s">
        <v>72</v>
      </c>
      <c r="B32" s="38">
        <v>1130000000</v>
      </c>
      <c r="C32" s="58">
        <f aca="true" t="shared" si="14" ref="C32:H32">SUM(C33:C35)</f>
        <v>8231</v>
      </c>
      <c r="D32" s="58">
        <f t="shared" si="14"/>
        <v>0</v>
      </c>
      <c r="E32" s="58">
        <f t="shared" si="14"/>
        <v>8231</v>
      </c>
      <c r="F32" s="58">
        <f t="shared" si="14"/>
        <v>2203.4</v>
      </c>
      <c r="G32" s="58">
        <f>SUM(G33:G35)</f>
        <v>1685.4</v>
      </c>
      <c r="H32" s="58">
        <f t="shared" si="14"/>
        <v>2763.3</v>
      </c>
      <c r="I32" s="59">
        <f t="shared" si="4"/>
        <v>0.3357186247114567</v>
      </c>
      <c r="J32" s="59">
        <f t="shared" si="5"/>
        <v>1.2541072887355904</v>
      </c>
      <c r="K32" s="58">
        <f>SUM(K33:K35)</f>
        <v>2353.7</v>
      </c>
      <c r="L32" s="59">
        <f t="shared" si="1"/>
        <v>1.174023877299571</v>
      </c>
      <c r="M32" s="58">
        <f>SUM(M33:M35)</f>
        <v>1077.9</v>
      </c>
      <c r="N32" s="58">
        <f>SUM(N33:N35)</f>
        <v>923.8</v>
      </c>
      <c r="O32" s="59">
        <f t="shared" si="2"/>
        <v>1.1668109980515264</v>
      </c>
      <c r="P32" s="58">
        <f>SUM(P33:P35)</f>
        <v>0</v>
      </c>
      <c r="Q32" s="58">
        <f>SUM(Q33:Q35)</f>
        <v>0</v>
      </c>
      <c r="R32" s="58">
        <f>SUM(R33:R35)</f>
        <v>0</v>
      </c>
    </row>
    <row r="33" spans="1:18" ht="18.75">
      <c r="A33" s="45" t="s">
        <v>38</v>
      </c>
      <c r="B33" s="45">
        <v>1130199505</v>
      </c>
      <c r="C33" s="60">
        <v>7612</v>
      </c>
      <c r="D33" s="61"/>
      <c r="E33" s="61">
        <f>C33+D33</f>
        <v>7612</v>
      </c>
      <c r="F33" s="61">
        <v>1963.4</v>
      </c>
      <c r="G33" s="61">
        <v>1477.9</v>
      </c>
      <c r="H33" s="61">
        <f>G33+M33</f>
        <v>2486.9</v>
      </c>
      <c r="I33" s="62">
        <f t="shared" si="4"/>
        <v>0.32670782974251183</v>
      </c>
      <c r="J33" s="62">
        <f t="shared" si="5"/>
        <v>1.2666293164917999</v>
      </c>
      <c r="K33" s="61">
        <v>2208.5</v>
      </c>
      <c r="L33" s="62">
        <f t="shared" si="1"/>
        <v>1.126058410685986</v>
      </c>
      <c r="M33" s="61">
        <v>1009</v>
      </c>
      <c r="N33" s="61">
        <v>845.5</v>
      </c>
      <c r="O33" s="62">
        <f t="shared" si="2"/>
        <v>1.1933767001774098</v>
      </c>
      <c r="P33" s="61"/>
      <c r="Q33" s="61"/>
      <c r="R33" s="61"/>
    </row>
    <row r="34" spans="1:18" ht="18.75">
      <c r="A34" s="45" t="s">
        <v>39</v>
      </c>
      <c r="B34" s="45">
        <v>1130206505</v>
      </c>
      <c r="C34" s="60">
        <v>619</v>
      </c>
      <c r="D34" s="61"/>
      <c r="E34" s="61">
        <f>C34+D34</f>
        <v>619</v>
      </c>
      <c r="F34" s="61">
        <v>240</v>
      </c>
      <c r="G34" s="61">
        <v>92.1</v>
      </c>
      <c r="H34" s="61">
        <f>G34+M34</f>
        <v>161</v>
      </c>
      <c r="I34" s="62">
        <f t="shared" si="4"/>
        <v>0.26009693053311794</v>
      </c>
      <c r="J34" s="62">
        <f t="shared" si="5"/>
        <v>0.6708333333333333</v>
      </c>
      <c r="K34" s="61">
        <v>145.2</v>
      </c>
      <c r="L34" s="62">
        <f t="shared" si="1"/>
        <v>1.1088154269972452</v>
      </c>
      <c r="M34" s="61">
        <v>68.9</v>
      </c>
      <c r="N34" s="61">
        <v>78.3</v>
      </c>
      <c r="O34" s="62">
        <f t="shared" si="2"/>
        <v>0.8799489144316731</v>
      </c>
      <c r="P34" s="61"/>
      <c r="Q34" s="61"/>
      <c r="R34" s="61"/>
    </row>
    <row r="35" spans="1:18" ht="18.75">
      <c r="A35" s="45" t="s">
        <v>68</v>
      </c>
      <c r="B35" s="45">
        <v>1130299505</v>
      </c>
      <c r="C35" s="60"/>
      <c r="D35" s="61"/>
      <c r="E35" s="61">
        <f>C35+D35</f>
        <v>0</v>
      </c>
      <c r="F35" s="61"/>
      <c r="G35" s="61">
        <v>115.4</v>
      </c>
      <c r="H35" s="61">
        <f>G35+M35</f>
        <v>115.4</v>
      </c>
      <c r="I35" s="62">
        <f t="shared" si="4"/>
        <v>0</v>
      </c>
      <c r="J35" s="62">
        <f t="shared" si="5"/>
        <v>0</v>
      </c>
      <c r="K35" s="61"/>
      <c r="L35" s="62">
        <f t="shared" si="1"/>
        <v>0</v>
      </c>
      <c r="M35" s="61"/>
      <c r="N35" s="61"/>
      <c r="O35" s="62">
        <f t="shared" si="2"/>
        <v>0</v>
      </c>
      <c r="P35" s="61"/>
      <c r="Q35" s="61"/>
      <c r="R35" s="61"/>
    </row>
    <row r="36" spans="1:18" ht="18.75">
      <c r="A36" s="44" t="s">
        <v>73</v>
      </c>
      <c r="B36" s="38">
        <v>1140000000</v>
      </c>
      <c r="C36" s="58">
        <f aca="true" t="shared" si="15" ref="C36:H36">SUM(C37:C38)</f>
        <v>0</v>
      </c>
      <c r="D36" s="58">
        <f t="shared" si="15"/>
        <v>0</v>
      </c>
      <c r="E36" s="58">
        <f t="shared" si="15"/>
        <v>0</v>
      </c>
      <c r="F36" s="58">
        <f t="shared" si="15"/>
        <v>0</v>
      </c>
      <c r="G36" s="58">
        <f>SUM(G37:G38)</f>
        <v>-150</v>
      </c>
      <c r="H36" s="58">
        <f t="shared" si="15"/>
        <v>462.5</v>
      </c>
      <c r="I36" s="59">
        <f t="shared" si="4"/>
        <v>0</v>
      </c>
      <c r="J36" s="59">
        <f t="shared" si="5"/>
        <v>0</v>
      </c>
      <c r="K36" s="58">
        <f>SUM(K37:K38)</f>
        <v>17.6</v>
      </c>
      <c r="L36" s="59">
        <f t="shared" si="1"/>
        <v>26.27840909090909</v>
      </c>
      <c r="M36" s="58">
        <f>SUM(M37:M38)</f>
        <v>612.5</v>
      </c>
      <c r="N36" s="58">
        <f>SUM(N37:N38)</f>
        <v>10.2</v>
      </c>
      <c r="O36" s="59">
        <f t="shared" si="2"/>
        <v>60.04901960784314</v>
      </c>
      <c r="P36" s="58">
        <f>SUM(P37:P38)</f>
        <v>0</v>
      </c>
      <c r="Q36" s="58">
        <f>SUM(Q37:Q38)</f>
        <v>0</v>
      </c>
      <c r="R36" s="58">
        <f>SUM(R37:R38)</f>
        <v>0</v>
      </c>
    </row>
    <row r="37" spans="1:18" ht="18.75">
      <c r="A37" s="8" t="s">
        <v>33</v>
      </c>
      <c r="B37" s="8">
        <v>1140205205</v>
      </c>
      <c r="C37" s="60"/>
      <c r="D37" s="61"/>
      <c r="E37" s="61">
        <f>C37+D37</f>
        <v>0</v>
      </c>
      <c r="F37" s="61"/>
      <c r="G37" s="61">
        <v>-150</v>
      </c>
      <c r="H37" s="61">
        <f>G37+M37</f>
        <v>450.9</v>
      </c>
      <c r="I37" s="62">
        <f t="shared" si="4"/>
        <v>0</v>
      </c>
      <c r="J37" s="62">
        <f t="shared" si="5"/>
        <v>0</v>
      </c>
      <c r="K37" s="61"/>
      <c r="L37" s="62">
        <f t="shared" si="1"/>
        <v>0</v>
      </c>
      <c r="M37" s="61">
        <v>600.9</v>
      </c>
      <c r="N37" s="61"/>
      <c r="O37" s="62">
        <f t="shared" si="2"/>
        <v>0</v>
      </c>
      <c r="P37" s="61"/>
      <c r="Q37" s="61"/>
      <c r="R37" s="61"/>
    </row>
    <row r="38" spans="1:18" ht="18.75">
      <c r="A38" s="8" t="s">
        <v>34</v>
      </c>
      <c r="B38" s="8">
        <v>1140600000</v>
      </c>
      <c r="C38" s="60"/>
      <c r="D38" s="61"/>
      <c r="E38" s="61">
        <f>C38+D38</f>
        <v>0</v>
      </c>
      <c r="F38" s="61"/>
      <c r="G38" s="61"/>
      <c r="H38" s="61">
        <f>G38+M38</f>
        <v>11.6</v>
      </c>
      <c r="I38" s="62">
        <f t="shared" si="4"/>
        <v>0</v>
      </c>
      <c r="J38" s="62">
        <f t="shared" si="5"/>
        <v>0</v>
      </c>
      <c r="K38" s="61">
        <v>17.6</v>
      </c>
      <c r="L38" s="62">
        <f t="shared" si="1"/>
        <v>0.6590909090909091</v>
      </c>
      <c r="M38" s="61">
        <v>11.6</v>
      </c>
      <c r="N38" s="61">
        <v>10.2</v>
      </c>
      <c r="O38" s="62">
        <f t="shared" si="2"/>
        <v>1.1372549019607843</v>
      </c>
      <c r="P38" s="61"/>
      <c r="Q38" s="61"/>
      <c r="R38" s="61"/>
    </row>
    <row r="39" spans="1:18" ht="18.75">
      <c r="A39" s="44" t="s">
        <v>74</v>
      </c>
      <c r="B39" s="38">
        <v>1160000000</v>
      </c>
      <c r="C39" s="58">
        <v>151.5</v>
      </c>
      <c r="D39" s="63"/>
      <c r="E39" s="63">
        <f>C39+D39</f>
        <v>151.5</v>
      </c>
      <c r="F39" s="63">
        <v>38</v>
      </c>
      <c r="G39" s="63">
        <v>25</v>
      </c>
      <c r="H39" s="63">
        <f>G39+M39</f>
        <v>45.8</v>
      </c>
      <c r="I39" s="59">
        <f t="shared" si="4"/>
        <v>0.3023102310231023</v>
      </c>
      <c r="J39" s="59">
        <f t="shared" si="5"/>
        <v>1.2052631578947368</v>
      </c>
      <c r="K39" s="63">
        <v>115.1</v>
      </c>
      <c r="L39" s="59">
        <f t="shared" si="1"/>
        <v>0.3979148566463944</v>
      </c>
      <c r="M39" s="63">
        <v>20.8</v>
      </c>
      <c r="N39" s="63">
        <v>28.3</v>
      </c>
      <c r="O39" s="59">
        <f t="shared" si="2"/>
        <v>0.734982332155477</v>
      </c>
      <c r="P39" s="63"/>
      <c r="Q39" s="63"/>
      <c r="R39" s="63"/>
    </row>
    <row r="40" spans="1:18" ht="18.75">
      <c r="A40" s="44" t="s">
        <v>75</v>
      </c>
      <c r="B40" s="38">
        <v>1170000000</v>
      </c>
      <c r="C40" s="58">
        <f aca="true" t="shared" si="16" ref="C40:H40">SUM(C41:C42)</f>
        <v>0</v>
      </c>
      <c r="D40" s="58">
        <f t="shared" si="16"/>
        <v>0</v>
      </c>
      <c r="E40" s="58">
        <f t="shared" si="16"/>
        <v>0</v>
      </c>
      <c r="F40" s="58">
        <f t="shared" si="16"/>
        <v>0</v>
      </c>
      <c r="G40" s="58">
        <f>SUM(G41:G42)</f>
        <v>0</v>
      </c>
      <c r="H40" s="58">
        <f t="shared" si="16"/>
        <v>0</v>
      </c>
      <c r="I40" s="59">
        <f t="shared" si="4"/>
        <v>0</v>
      </c>
      <c r="J40" s="59">
        <f t="shared" si="5"/>
        <v>0</v>
      </c>
      <c r="K40" s="58">
        <f>SUM(K41:K42)</f>
        <v>0</v>
      </c>
      <c r="L40" s="59">
        <f t="shared" si="1"/>
        <v>0</v>
      </c>
      <c r="M40" s="58">
        <f>SUM(M41:M42)</f>
        <v>0</v>
      </c>
      <c r="N40" s="58">
        <f>SUM(N41:N42)</f>
        <v>0</v>
      </c>
      <c r="O40" s="59">
        <f t="shared" si="2"/>
        <v>0</v>
      </c>
      <c r="P40" s="58">
        <f>SUM(P41:P42)</f>
        <v>0</v>
      </c>
      <c r="Q40" s="58">
        <f>SUM(Q41:Q42)</f>
        <v>0</v>
      </c>
      <c r="R40" s="58">
        <f>SUM(R41:R42)</f>
        <v>0</v>
      </c>
    </row>
    <row r="41" spans="1:18" ht="18.75">
      <c r="A41" s="8" t="s">
        <v>8</v>
      </c>
      <c r="B41" s="8">
        <v>1170105005</v>
      </c>
      <c r="C41" s="60"/>
      <c r="D41" s="61"/>
      <c r="E41" s="61">
        <f>C41+D41</f>
        <v>0</v>
      </c>
      <c r="F41" s="61"/>
      <c r="G41" s="61"/>
      <c r="H41" s="61">
        <f>G41+M41</f>
        <v>0</v>
      </c>
      <c r="I41" s="62">
        <f t="shared" si="4"/>
        <v>0</v>
      </c>
      <c r="J41" s="62">
        <f t="shared" si="5"/>
        <v>0</v>
      </c>
      <c r="K41" s="61"/>
      <c r="L41" s="62">
        <f t="shared" si="1"/>
        <v>0</v>
      </c>
      <c r="M41" s="61"/>
      <c r="N41" s="61"/>
      <c r="O41" s="62">
        <f t="shared" si="2"/>
        <v>0</v>
      </c>
      <c r="P41" s="61"/>
      <c r="Q41" s="61"/>
      <c r="R41" s="61"/>
    </row>
    <row r="42" spans="1:18" ht="18.75">
      <c r="A42" s="8" t="s">
        <v>15</v>
      </c>
      <c r="B42" s="8">
        <v>1170505005</v>
      </c>
      <c r="C42" s="60"/>
      <c r="D42" s="61"/>
      <c r="E42" s="61">
        <f>C42+D42</f>
        <v>0</v>
      </c>
      <c r="F42" s="61"/>
      <c r="G42" s="61"/>
      <c r="H42" s="61">
        <f>G42+M42</f>
        <v>0</v>
      </c>
      <c r="I42" s="62">
        <f t="shared" si="4"/>
        <v>0</v>
      </c>
      <c r="J42" s="62">
        <f t="shared" si="5"/>
        <v>0</v>
      </c>
      <c r="K42" s="61"/>
      <c r="L42" s="62">
        <f t="shared" si="1"/>
        <v>0</v>
      </c>
      <c r="M42" s="61"/>
      <c r="N42" s="61"/>
      <c r="O42" s="62">
        <f t="shared" si="2"/>
        <v>0</v>
      </c>
      <c r="P42" s="61"/>
      <c r="Q42" s="61"/>
      <c r="R42" s="61"/>
    </row>
    <row r="43" spans="1:18" ht="18.75" customHeight="1">
      <c r="A43" s="43" t="s">
        <v>95</v>
      </c>
      <c r="B43" s="43">
        <v>1000000000</v>
      </c>
      <c r="C43" s="64">
        <f aca="true" t="shared" si="17" ref="C43:H43">C4+C24</f>
        <v>47210.5</v>
      </c>
      <c r="D43" s="64">
        <f t="shared" si="17"/>
        <v>-600</v>
      </c>
      <c r="E43" s="64">
        <f t="shared" si="17"/>
        <v>46610.5</v>
      </c>
      <c r="F43" s="56">
        <f t="shared" si="17"/>
        <v>12004.8</v>
      </c>
      <c r="G43" s="56">
        <f>G4+G24</f>
        <v>7137.200000000001</v>
      </c>
      <c r="H43" s="128">
        <f t="shared" si="17"/>
        <v>13046.9</v>
      </c>
      <c r="I43" s="57">
        <f t="shared" si="4"/>
        <v>0.2799133242509735</v>
      </c>
      <c r="J43" s="57">
        <f t="shared" si="5"/>
        <v>1.086806943889111</v>
      </c>
      <c r="K43" s="56">
        <f>K4+K24</f>
        <v>10477</v>
      </c>
      <c r="L43" s="57">
        <f t="shared" si="1"/>
        <v>1.2452896821609238</v>
      </c>
      <c r="M43" s="56">
        <f>M4+M24</f>
        <v>5909.700000000001</v>
      </c>
      <c r="N43" s="56">
        <f>N4+N24</f>
        <v>3884.7999999999993</v>
      </c>
      <c r="O43" s="57">
        <f t="shared" si="2"/>
        <v>1.5212366144975293</v>
      </c>
      <c r="P43" s="56">
        <f>P4+P24</f>
        <v>1500.7</v>
      </c>
      <c r="Q43" s="56">
        <f>Q4+Q24</f>
        <v>951.8000000000001</v>
      </c>
      <c r="R43" s="56">
        <f>R4+R24</f>
        <v>2771.7000000000003</v>
      </c>
    </row>
    <row r="44" spans="1:18" ht="18.75" customHeight="1">
      <c r="A44" s="43" t="s">
        <v>97</v>
      </c>
      <c r="B44" s="43"/>
      <c r="C44" s="64">
        <f>C43-C10</f>
        <v>42696</v>
      </c>
      <c r="D44" s="64">
        <f>D43-D10</f>
        <v>-600</v>
      </c>
      <c r="E44" s="64">
        <f>C44+D44</f>
        <v>42096</v>
      </c>
      <c r="F44" s="56">
        <f>F43-F10-1728.4</f>
        <v>8661.4</v>
      </c>
      <c r="G44" s="56">
        <f>G43-G10-1305.2</f>
        <v>5142.900000000001</v>
      </c>
      <c r="H44" s="128">
        <f>G44+M44</f>
        <v>9242</v>
      </c>
      <c r="I44" s="57">
        <f>IF(E44&gt;0,H44/E44,0)</f>
        <v>0.21954580007601673</v>
      </c>
      <c r="J44" s="57">
        <f>IF(F44&gt;0,H44/F44,0)</f>
        <v>1.0670330431569954</v>
      </c>
      <c r="K44" s="56">
        <f>K43-K10-2783.8</f>
        <v>6261.499999999999</v>
      </c>
      <c r="L44" s="57">
        <f t="shared" si="1"/>
        <v>1.4760041523596585</v>
      </c>
      <c r="M44" s="56">
        <f>M43-M10-884.1</f>
        <v>4099.1</v>
      </c>
      <c r="N44" s="56">
        <f>N43-N10-765.3</f>
        <v>2620.3999999999996</v>
      </c>
      <c r="O44" s="57">
        <f t="shared" si="2"/>
        <v>1.5643031598229282</v>
      </c>
      <c r="P44" s="56"/>
      <c r="Q44" s="56"/>
      <c r="R44" s="56"/>
    </row>
    <row r="45" spans="1:18" ht="18.75">
      <c r="A45" s="8" t="s">
        <v>40</v>
      </c>
      <c r="B45" s="8">
        <v>2000000000</v>
      </c>
      <c r="C45" s="60">
        <v>144495.082</v>
      </c>
      <c r="D45" s="61">
        <f>224</f>
        <v>224</v>
      </c>
      <c r="E45" s="61">
        <f>C45+D45</f>
        <v>144719.082</v>
      </c>
      <c r="F45" s="61">
        <f>34850.65+571.1+470.1</f>
        <v>35891.85</v>
      </c>
      <c r="G45" s="61">
        <v>17720.4</v>
      </c>
      <c r="H45" s="61">
        <f>G45+M45</f>
        <v>30769.100000000002</v>
      </c>
      <c r="I45" s="62">
        <f t="shared" si="4"/>
        <v>0.2126125979710126</v>
      </c>
      <c r="J45" s="62">
        <f t="shared" si="5"/>
        <v>0.8572726120275217</v>
      </c>
      <c r="K45" s="61">
        <v>29337</v>
      </c>
      <c r="L45" s="62">
        <f t="shared" si="1"/>
        <v>1.0488154889729693</v>
      </c>
      <c r="M45" s="61">
        <v>13048.7</v>
      </c>
      <c r="N45" s="61">
        <v>13477.9</v>
      </c>
      <c r="O45" s="62">
        <f t="shared" si="2"/>
        <v>0.9681552764154654</v>
      </c>
      <c r="P45" s="61"/>
      <c r="Q45" s="61"/>
      <c r="R45" s="61"/>
    </row>
    <row r="46" spans="1:18" ht="18.75">
      <c r="A46" s="8" t="s">
        <v>51</v>
      </c>
      <c r="B46" s="46" t="s">
        <v>41</v>
      </c>
      <c r="C46" s="60"/>
      <c r="D46" s="61"/>
      <c r="E46" s="61">
        <f>C46+D46</f>
        <v>0</v>
      </c>
      <c r="F46" s="61"/>
      <c r="G46" s="61">
        <v>31.5</v>
      </c>
      <c r="H46" s="61">
        <f>G46+M46</f>
        <v>35.3</v>
      </c>
      <c r="I46" s="62">
        <f t="shared" si="4"/>
        <v>0</v>
      </c>
      <c r="J46" s="62">
        <f t="shared" si="5"/>
        <v>0</v>
      </c>
      <c r="K46" s="61">
        <v>488.6</v>
      </c>
      <c r="L46" s="62">
        <f t="shared" si="1"/>
        <v>0.07224723700368399</v>
      </c>
      <c r="M46" s="61">
        <v>3.8</v>
      </c>
      <c r="N46" s="61">
        <v>424.8</v>
      </c>
      <c r="O46" s="62">
        <f t="shared" si="2"/>
        <v>0.008945386064030132</v>
      </c>
      <c r="P46" s="61"/>
      <c r="Q46" s="61"/>
      <c r="R46" s="61"/>
    </row>
    <row r="47" spans="1:18" ht="18.75">
      <c r="A47" s="8" t="s">
        <v>99</v>
      </c>
      <c r="B47" s="46" t="s">
        <v>100</v>
      </c>
      <c r="C47" s="60"/>
      <c r="D47" s="61"/>
      <c r="E47" s="61"/>
      <c r="F47" s="61"/>
      <c r="G47" s="61">
        <v>-468.1</v>
      </c>
      <c r="H47" s="61">
        <f>G47+M47</f>
        <v>-468.1</v>
      </c>
      <c r="I47" s="62"/>
      <c r="J47" s="62"/>
      <c r="K47" s="61">
        <v>-335.2</v>
      </c>
      <c r="L47" s="62">
        <f t="shared" si="1"/>
        <v>0</v>
      </c>
      <c r="M47" s="61"/>
      <c r="N47" s="61"/>
      <c r="O47" s="62"/>
      <c r="P47" s="61"/>
      <c r="Q47" s="61"/>
      <c r="R47" s="61"/>
    </row>
    <row r="48" spans="1:18" ht="18.75">
      <c r="A48" s="43" t="s">
        <v>2</v>
      </c>
      <c r="B48" s="43">
        <v>0</v>
      </c>
      <c r="C48" s="65">
        <f>C43+C45+C46</f>
        <v>191705.582</v>
      </c>
      <c r="D48" s="64">
        <f>D43+D45+D46</f>
        <v>-376</v>
      </c>
      <c r="E48" s="64">
        <f>E43+E45+E46</f>
        <v>191329.582</v>
      </c>
      <c r="F48" s="128">
        <f>F43+F45+F46</f>
        <v>47896.649999999994</v>
      </c>
      <c r="G48" s="56">
        <f>G43+G45+G46+G47</f>
        <v>24421.000000000004</v>
      </c>
      <c r="H48" s="128">
        <f>H43+H45+H46+H47</f>
        <v>43383.200000000004</v>
      </c>
      <c r="I48" s="57">
        <f t="shared" si="4"/>
        <v>0.22674590905655145</v>
      </c>
      <c r="J48" s="57">
        <f t="shared" si="5"/>
        <v>0.9057668960146484</v>
      </c>
      <c r="K48" s="56">
        <f>K43+K45+K46+K47</f>
        <v>39967.4</v>
      </c>
      <c r="L48" s="57">
        <f t="shared" si="1"/>
        <v>1.0854646536927597</v>
      </c>
      <c r="M48" s="56">
        <f>M43+M45+M46+M47</f>
        <v>18962.2</v>
      </c>
      <c r="N48" s="128">
        <f>N43+N45+N46+N47</f>
        <v>17787.499999999996</v>
      </c>
      <c r="O48" s="57">
        <f t="shared" si="2"/>
        <v>1.066040758959944</v>
      </c>
      <c r="P48" s="56">
        <f>P43+P45+P46</f>
        <v>1500.7</v>
      </c>
      <c r="Q48" s="56">
        <f>Q43+Q45+Q46</f>
        <v>951.8000000000001</v>
      </c>
      <c r="R48" s="56">
        <f>R43+R45+R46</f>
        <v>2771.7000000000003</v>
      </c>
    </row>
    <row r="49" spans="1:3" ht="12.75">
      <c r="A49" s="3"/>
      <c r="B49" s="3"/>
      <c r="C49" s="3"/>
    </row>
    <row r="50" spans="1:3" ht="12.75">
      <c r="A50" s="3"/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</sheetData>
  <sheetProtection/>
  <mergeCells count="14">
    <mergeCell ref="E2:E3"/>
    <mergeCell ref="F2:F3"/>
    <mergeCell ref="G2:G3"/>
    <mergeCell ref="H2:J2"/>
    <mergeCell ref="P2:R2"/>
    <mergeCell ref="K2:L2"/>
    <mergeCell ref="M2:M3"/>
    <mergeCell ref="N2:N3"/>
    <mergeCell ref="O2:O3"/>
    <mergeCell ref="A1:M1"/>
    <mergeCell ref="A2:A3"/>
    <mergeCell ref="B2:B3"/>
    <mergeCell ref="C2:C3"/>
    <mergeCell ref="D2:D3"/>
  </mergeCells>
  <printOptions horizontalCentered="1"/>
  <pageMargins left="0.3937007874015748" right="0.1968503937007874" top="0.22" bottom="0.19" header="0.5118110236220472" footer="0.5118110236220472"/>
  <pageSetup fitToHeight="1" fitToWidth="1" horizontalDpi="600" verticalDpi="600" orientation="landscape" paperSize="9" scale="58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7" sqref="R7:R25"/>
    </sheetView>
  </sheetViews>
  <sheetFormatPr defaultColWidth="9.00390625" defaultRowHeight="12.75"/>
  <cols>
    <col min="1" max="1" width="41.875" style="0" customWidth="1"/>
    <col min="2" max="2" width="14.375" style="0" customWidth="1"/>
    <col min="3" max="3" width="14.25390625" style="0" customWidth="1"/>
    <col min="4" max="4" width="13.875" style="0" customWidth="1"/>
    <col min="5" max="5" width="15.25390625" style="0" customWidth="1"/>
    <col min="6" max="6" width="10.75390625" style="0" hidden="1" customWidth="1"/>
    <col min="7" max="7" width="11.875" style="0" customWidth="1"/>
    <col min="8" max="8" width="11.125" style="0" customWidth="1"/>
    <col min="9" max="9" width="10.75390625" style="0" customWidth="1"/>
    <col min="10" max="10" width="0.12890625" style="0" customWidth="1"/>
    <col min="11" max="11" width="11.375" style="0" customWidth="1"/>
    <col min="12" max="12" width="13.375" style="0" customWidth="1"/>
    <col min="13" max="13" width="10.875" style="0" customWidth="1"/>
    <col min="14" max="14" width="10.625" style="0" customWidth="1"/>
    <col min="15" max="15" width="13.25390625" style="0" customWidth="1"/>
    <col min="16" max="17" width="9.875" style="0" customWidth="1"/>
    <col min="18" max="18" width="11.00390625" style="0" customWidth="1"/>
    <col min="19" max="20" width="9.125" style="0" hidden="1" customWidth="1"/>
    <col min="21" max="21" width="0.12890625" style="0" hidden="1" customWidth="1"/>
  </cols>
  <sheetData>
    <row r="1" spans="1:18" ht="15.75">
      <c r="A1" s="26"/>
      <c r="B1" s="48"/>
      <c r="C1" s="143" t="s">
        <v>11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50"/>
      <c r="P1" s="26"/>
      <c r="Q1" s="26"/>
      <c r="R1" s="26"/>
    </row>
    <row r="2" spans="1:18" ht="15.75">
      <c r="A2" s="26"/>
      <c r="B2" s="144" t="s">
        <v>114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18" ht="13.5" customHeight="1" thickBot="1">
      <c r="A3" s="139" t="s">
        <v>3</v>
      </c>
      <c r="B3" s="141" t="s">
        <v>4</v>
      </c>
      <c r="C3" s="136" t="s">
        <v>102</v>
      </c>
      <c r="D3" s="141" t="s">
        <v>26</v>
      </c>
      <c r="E3" s="141" t="s">
        <v>103</v>
      </c>
      <c r="F3" s="136" t="s">
        <v>105</v>
      </c>
      <c r="G3" s="136" t="s">
        <v>106</v>
      </c>
      <c r="H3" s="136" t="s">
        <v>104</v>
      </c>
      <c r="I3" s="136"/>
      <c r="J3" s="136"/>
      <c r="K3" s="136" t="s">
        <v>53</v>
      </c>
      <c r="L3" s="136"/>
      <c r="M3" s="136" t="s">
        <v>108</v>
      </c>
      <c r="N3" s="136" t="s">
        <v>109</v>
      </c>
      <c r="O3" s="138" t="s">
        <v>20</v>
      </c>
      <c r="P3" s="138" t="s">
        <v>9</v>
      </c>
      <c r="Q3" s="138"/>
      <c r="R3" s="138"/>
    </row>
    <row r="4" spans="1:21" ht="111" customHeight="1" thickBot="1">
      <c r="A4" s="140"/>
      <c r="B4" s="142"/>
      <c r="C4" s="136"/>
      <c r="D4" s="142"/>
      <c r="E4" s="141"/>
      <c r="F4" s="136"/>
      <c r="G4" s="136"/>
      <c r="H4" s="47" t="s">
        <v>107</v>
      </c>
      <c r="I4" s="47" t="s">
        <v>10</v>
      </c>
      <c r="J4" s="47" t="s">
        <v>31</v>
      </c>
      <c r="K4" s="47" t="s">
        <v>107</v>
      </c>
      <c r="L4" s="47" t="s">
        <v>32</v>
      </c>
      <c r="M4" s="136"/>
      <c r="N4" s="136"/>
      <c r="O4" s="138"/>
      <c r="P4" s="129" t="s">
        <v>101</v>
      </c>
      <c r="Q4" s="129" t="s">
        <v>110</v>
      </c>
      <c r="R4" s="129" t="s">
        <v>113</v>
      </c>
      <c r="S4" s="1"/>
      <c r="T4" s="1"/>
      <c r="U4" s="2"/>
    </row>
    <row r="5" spans="1:21" ht="21.75" customHeight="1">
      <c r="A5" s="51" t="s">
        <v>23</v>
      </c>
      <c r="B5" s="52"/>
      <c r="C5" s="95">
        <f aca="true" t="shared" si="0" ref="C5:H5">C6+C15+C17+C22+C10</f>
        <v>7286.299999999999</v>
      </c>
      <c r="D5" s="95">
        <f t="shared" si="0"/>
        <v>0</v>
      </c>
      <c r="E5" s="95">
        <f t="shared" si="0"/>
        <v>7286.299999999999</v>
      </c>
      <c r="F5" s="95">
        <f t="shared" si="0"/>
        <v>0</v>
      </c>
      <c r="G5" s="95">
        <f t="shared" si="0"/>
        <v>865</v>
      </c>
      <c r="H5" s="95">
        <f t="shared" si="0"/>
        <v>1523.3000000000002</v>
      </c>
      <c r="I5" s="96">
        <f>IF(E5&gt;0,H5/E5,0)</f>
        <v>0.2090635850843364</v>
      </c>
      <c r="J5" s="96">
        <f>IF(F5&gt;0,H5/F5,0)</f>
        <v>0</v>
      </c>
      <c r="K5" s="95">
        <f>K6+K15+K17+K22+K10</f>
        <v>1769.2</v>
      </c>
      <c r="L5" s="96">
        <f aca="true" t="shared" si="1" ref="L5:L39">IF(K5&gt;0,H5/K5,0)</f>
        <v>0.8610106262717613</v>
      </c>
      <c r="M5" s="95">
        <f>M6+M15+M17+M22+M10</f>
        <v>658.3000000000001</v>
      </c>
      <c r="N5" s="95">
        <f>N6+N15+N17+N22+N10</f>
        <v>579.8</v>
      </c>
      <c r="O5" s="96">
        <f aca="true" t="shared" si="2" ref="O5:O21">IF(N5&gt;0,M5/N5,0)</f>
        <v>1.1353915143152813</v>
      </c>
      <c r="P5" s="95">
        <f>P6+P15+P17+P22+P10</f>
        <v>1423.1</v>
      </c>
      <c r="Q5" s="95">
        <f>Q6+Q15+Q17+Q22+Q10</f>
        <v>1554.1999999999998</v>
      </c>
      <c r="R5" s="95">
        <f>R6+R15+R17+R22+R10</f>
        <v>1403.3</v>
      </c>
      <c r="S5" s="4"/>
      <c r="T5" s="4"/>
      <c r="U5" s="4"/>
    </row>
    <row r="6" spans="1:18" ht="18" customHeight="1">
      <c r="A6" s="9" t="s">
        <v>69</v>
      </c>
      <c r="B6" s="53">
        <v>1010200001</v>
      </c>
      <c r="C6" s="74">
        <f aca="true" t="shared" si="3" ref="C6:H6">C7+C8+C9</f>
        <v>5059.7</v>
      </c>
      <c r="D6" s="74">
        <f t="shared" si="3"/>
        <v>0</v>
      </c>
      <c r="E6" s="74">
        <f t="shared" si="3"/>
        <v>5059.7</v>
      </c>
      <c r="F6" s="74">
        <f t="shared" si="3"/>
        <v>0</v>
      </c>
      <c r="G6" s="74">
        <f t="shared" si="3"/>
        <v>542.6</v>
      </c>
      <c r="H6" s="74">
        <f t="shared" si="3"/>
        <v>888.9</v>
      </c>
      <c r="I6" s="92">
        <f aca="true" t="shared" si="4" ref="I6:I39">IF(E6&gt;0,H6/E6,0)</f>
        <v>0.17568235270865862</v>
      </c>
      <c r="J6" s="92">
        <f>IF(F6&gt;0,H6/F6,0)</f>
        <v>0</v>
      </c>
      <c r="K6" s="74">
        <f>K7+K8+K9</f>
        <v>878.6</v>
      </c>
      <c r="L6" s="92">
        <f t="shared" si="1"/>
        <v>1.0117231959936261</v>
      </c>
      <c r="M6" s="74">
        <f>M7+M8+M9</f>
        <v>346.3</v>
      </c>
      <c r="N6" s="74">
        <f>N7+N8+N9</f>
        <v>326.7</v>
      </c>
      <c r="O6" s="92">
        <f t="shared" si="2"/>
        <v>1.0599938781756963</v>
      </c>
      <c r="P6" s="74">
        <f>P7+P8+P9</f>
        <v>2.6</v>
      </c>
      <c r="Q6" s="74">
        <f>Q7+Q8+Q9</f>
        <v>2.5</v>
      </c>
      <c r="R6" s="74">
        <f>R7+R8+R9</f>
        <v>2.5</v>
      </c>
    </row>
    <row r="7" spans="1:18" ht="18">
      <c r="A7" s="10" t="s">
        <v>49</v>
      </c>
      <c r="B7" s="13">
        <v>1010201001</v>
      </c>
      <c r="C7" s="73">
        <v>5029.2</v>
      </c>
      <c r="D7" s="70"/>
      <c r="E7" s="73">
        <f>C7+D7</f>
        <v>5029.2</v>
      </c>
      <c r="F7" s="73"/>
      <c r="G7" s="70">
        <v>542</v>
      </c>
      <c r="H7" s="70">
        <f>G7+M7</f>
        <v>888.3</v>
      </c>
      <c r="I7" s="81">
        <f t="shared" si="4"/>
        <v>0.17662848962061561</v>
      </c>
      <c r="J7" s="81">
        <f aca="true" t="shared" si="5" ref="J7:J39">IF(F7&gt;0,H7/F7,0)</f>
        <v>0</v>
      </c>
      <c r="K7" s="70">
        <v>876.8</v>
      </c>
      <c r="L7" s="81">
        <f t="shared" si="1"/>
        <v>1.0131158759124088</v>
      </c>
      <c r="M7" s="70">
        <v>346.3</v>
      </c>
      <c r="N7" s="70">
        <v>325.4</v>
      </c>
      <c r="O7" s="81">
        <f t="shared" si="2"/>
        <v>1.0642286416717888</v>
      </c>
      <c r="P7" s="73">
        <v>0.3</v>
      </c>
      <c r="Q7" s="73">
        <v>0.3</v>
      </c>
      <c r="R7" s="73">
        <v>0.3</v>
      </c>
    </row>
    <row r="8" spans="1:18" ht="18">
      <c r="A8" s="10" t="s">
        <v>48</v>
      </c>
      <c r="B8" s="13">
        <v>1010202001</v>
      </c>
      <c r="C8" s="73">
        <v>14</v>
      </c>
      <c r="D8" s="70"/>
      <c r="E8" s="73">
        <f>C8+D8</f>
        <v>14</v>
      </c>
      <c r="F8" s="73"/>
      <c r="G8" s="73"/>
      <c r="H8" s="70">
        <f>G8+M8</f>
        <v>0</v>
      </c>
      <c r="I8" s="81">
        <f t="shared" si="4"/>
        <v>0</v>
      </c>
      <c r="J8" s="81">
        <f t="shared" si="5"/>
        <v>0</v>
      </c>
      <c r="K8" s="73">
        <v>0.1</v>
      </c>
      <c r="L8" s="81">
        <f t="shared" si="1"/>
        <v>0</v>
      </c>
      <c r="M8" s="73"/>
      <c r="N8" s="73"/>
      <c r="O8" s="81">
        <f>IF(N8&gt;0,M8/N8,0)</f>
        <v>0</v>
      </c>
      <c r="P8" s="73">
        <v>1.8</v>
      </c>
      <c r="Q8" s="73">
        <v>1.8</v>
      </c>
      <c r="R8" s="73">
        <v>1.8</v>
      </c>
    </row>
    <row r="9" spans="1:18" ht="18">
      <c r="A9" s="10" t="s">
        <v>46</v>
      </c>
      <c r="B9" s="13">
        <v>1010203001</v>
      </c>
      <c r="C9" s="73">
        <v>16.5</v>
      </c>
      <c r="D9" s="73"/>
      <c r="E9" s="73">
        <f>C9+D9</f>
        <v>16.5</v>
      </c>
      <c r="F9" s="73"/>
      <c r="G9" s="73">
        <v>0.6</v>
      </c>
      <c r="H9" s="70">
        <f>G9+M9</f>
        <v>0.6</v>
      </c>
      <c r="I9" s="81">
        <f t="shared" si="4"/>
        <v>0.03636363636363636</v>
      </c>
      <c r="J9" s="81">
        <f t="shared" si="5"/>
        <v>0</v>
      </c>
      <c r="K9" s="73">
        <v>1.7</v>
      </c>
      <c r="L9" s="81">
        <f t="shared" si="1"/>
        <v>0.35294117647058826</v>
      </c>
      <c r="M9" s="73"/>
      <c r="N9" s="73">
        <v>1.3</v>
      </c>
      <c r="O9" s="81">
        <f t="shared" si="2"/>
        <v>0</v>
      </c>
      <c r="P9" s="73">
        <v>0.5</v>
      </c>
      <c r="Q9" s="73">
        <v>0.4</v>
      </c>
      <c r="R9" s="73">
        <v>0.4</v>
      </c>
    </row>
    <row r="10" spans="1:18" ht="20.25" customHeight="1">
      <c r="A10" s="11" t="s">
        <v>54</v>
      </c>
      <c r="B10" s="19">
        <v>1030200001</v>
      </c>
      <c r="C10" s="74">
        <f aca="true" t="shared" si="6" ref="C10:H10">SUM(C11:C14)</f>
        <v>882.0999999999999</v>
      </c>
      <c r="D10" s="74">
        <f t="shared" si="6"/>
        <v>0</v>
      </c>
      <c r="E10" s="74">
        <f t="shared" si="6"/>
        <v>882.0999999999999</v>
      </c>
      <c r="F10" s="74">
        <f t="shared" si="6"/>
        <v>0</v>
      </c>
      <c r="G10" s="74">
        <f>SUM(G11:G14)</f>
        <v>134.8</v>
      </c>
      <c r="H10" s="74">
        <f t="shared" si="6"/>
        <v>315.9</v>
      </c>
      <c r="I10" s="92">
        <f>IF(E10&gt;0,H10/E10,0)</f>
        <v>0.3581226618297245</v>
      </c>
      <c r="J10" s="92">
        <f>IF(F10&gt;0,H10/F10,0)</f>
        <v>0</v>
      </c>
      <c r="K10" s="74">
        <f>SUM(K11:K14)</f>
        <v>250.8</v>
      </c>
      <c r="L10" s="92">
        <f t="shared" si="1"/>
        <v>1.2595693779904304</v>
      </c>
      <c r="M10" s="74">
        <f>SUM(M11:M14)</f>
        <v>181.1</v>
      </c>
      <c r="N10" s="74">
        <f>SUM(N11:N14)</f>
        <v>87.4</v>
      </c>
      <c r="O10" s="92">
        <f t="shared" si="2"/>
        <v>2.0720823798627</v>
      </c>
      <c r="P10" s="74">
        <f>SUM(P11:P14)</f>
        <v>0</v>
      </c>
      <c r="Q10" s="74">
        <f>SUM(Q11:Q14)</f>
        <v>0</v>
      </c>
      <c r="R10" s="74">
        <f>SUM(R11:R14)</f>
        <v>0</v>
      </c>
    </row>
    <row r="11" spans="1:18" ht="18.75" customHeight="1">
      <c r="A11" s="12" t="s">
        <v>55</v>
      </c>
      <c r="B11" s="12">
        <v>1030223001</v>
      </c>
      <c r="C11" s="73">
        <v>348.7</v>
      </c>
      <c r="D11" s="73"/>
      <c r="E11" s="69">
        <f>C11+D11</f>
        <v>348.7</v>
      </c>
      <c r="F11" s="69"/>
      <c r="G11" s="73">
        <v>50.8</v>
      </c>
      <c r="H11" s="71">
        <f>G11+M11</f>
        <v>106.8</v>
      </c>
      <c r="I11" s="72">
        <f>IF(E11&gt;0,H11/E11,0)</f>
        <v>0.3062804703183252</v>
      </c>
      <c r="J11" s="72">
        <f>IF(F11&gt;0,H11/F11,0)</f>
        <v>0</v>
      </c>
      <c r="K11" s="73">
        <v>99.2</v>
      </c>
      <c r="L11" s="72">
        <f t="shared" si="1"/>
        <v>1.0766129032258065</v>
      </c>
      <c r="M11" s="73">
        <v>56</v>
      </c>
      <c r="N11" s="73">
        <v>35.9</v>
      </c>
      <c r="O11" s="72">
        <f t="shared" si="2"/>
        <v>1.5598885793871866</v>
      </c>
      <c r="P11" s="73"/>
      <c r="Q11" s="73"/>
      <c r="R11" s="73"/>
    </row>
    <row r="12" spans="1:18" ht="18" customHeight="1">
      <c r="A12" s="12" t="s">
        <v>56</v>
      </c>
      <c r="B12" s="12">
        <v>1030224001</v>
      </c>
      <c r="C12" s="73">
        <v>9.4</v>
      </c>
      <c r="D12" s="73"/>
      <c r="E12" s="69">
        <f>C12+D12</f>
        <v>9.4</v>
      </c>
      <c r="F12" s="69"/>
      <c r="G12" s="73">
        <v>1.2</v>
      </c>
      <c r="H12" s="71">
        <f>G12+M12</f>
        <v>2.4</v>
      </c>
      <c r="I12" s="72">
        <f>IF(E12&gt;0,H12/E12,0)</f>
        <v>0.2553191489361702</v>
      </c>
      <c r="J12" s="72">
        <f>IF(F12&gt;0,H12/F12,0)</f>
        <v>0</v>
      </c>
      <c r="K12" s="73">
        <v>1.6</v>
      </c>
      <c r="L12" s="72">
        <f t="shared" si="1"/>
        <v>1.4999999999999998</v>
      </c>
      <c r="M12" s="73">
        <v>1.2</v>
      </c>
      <c r="N12" s="73">
        <v>0.6</v>
      </c>
      <c r="O12" s="72">
        <f t="shared" si="2"/>
        <v>2</v>
      </c>
      <c r="P12" s="73"/>
      <c r="Q12" s="73"/>
      <c r="R12" s="73"/>
    </row>
    <row r="13" spans="1:18" ht="18.75" customHeight="1">
      <c r="A13" s="12" t="s">
        <v>57</v>
      </c>
      <c r="B13" s="12">
        <v>1030225001</v>
      </c>
      <c r="C13" s="73">
        <v>486.5</v>
      </c>
      <c r="D13" s="73"/>
      <c r="E13" s="69">
        <f>C13+D13</f>
        <v>486.5</v>
      </c>
      <c r="F13" s="69"/>
      <c r="G13" s="73">
        <v>88.4</v>
      </c>
      <c r="H13" s="71">
        <f>G13+M13</f>
        <v>213.7</v>
      </c>
      <c r="I13" s="72">
        <f>IF(E13&gt;0,H13/E13,0)</f>
        <v>0.4392600205549846</v>
      </c>
      <c r="J13" s="72">
        <f>IF(F13&gt;0,H13/F13,0)</f>
        <v>0</v>
      </c>
      <c r="K13" s="73">
        <v>150</v>
      </c>
      <c r="L13" s="72">
        <f t="shared" si="1"/>
        <v>1.4246666666666665</v>
      </c>
      <c r="M13" s="73">
        <v>125.3</v>
      </c>
      <c r="N13" s="73">
        <v>50.9</v>
      </c>
      <c r="O13" s="72">
        <f t="shared" si="2"/>
        <v>2.461689587426326</v>
      </c>
      <c r="P13" s="73"/>
      <c r="Q13" s="73"/>
      <c r="R13" s="73"/>
    </row>
    <row r="14" spans="1:18" ht="18" customHeight="1">
      <c r="A14" s="12" t="s">
        <v>58</v>
      </c>
      <c r="B14" s="12">
        <v>1030226001</v>
      </c>
      <c r="C14" s="73">
        <v>37.5</v>
      </c>
      <c r="D14" s="73"/>
      <c r="E14" s="69">
        <f>C14+D14</f>
        <v>37.5</v>
      </c>
      <c r="F14" s="69"/>
      <c r="G14" s="73">
        <v>-5.6</v>
      </c>
      <c r="H14" s="71">
        <f>G14+M14</f>
        <v>-7</v>
      </c>
      <c r="I14" s="72">
        <f>IF(E14&gt;0,H14/E14,0)</f>
        <v>-0.18666666666666668</v>
      </c>
      <c r="J14" s="72">
        <f>IF(F14&gt;0,H14/F14,0)</f>
        <v>0</v>
      </c>
      <c r="K14" s="73"/>
      <c r="L14" s="72">
        <f t="shared" si="1"/>
        <v>0</v>
      </c>
      <c r="M14" s="73">
        <v>-1.4</v>
      </c>
      <c r="N14" s="73"/>
      <c r="O14" s="72">
        <f t="shared" si="2"/>
        <v>0</v>
      </c>
      <c r="P14" s="73"/>
      <c r="Q14" s="73"/>
      <c r="R14" s="73"/>
    </row>
    <row r="15" spans="1:18" ht="18">
      <c r="A15" s="9" t="s">
        <v>76</v>
      </c>
      <c r="B15" s="30">
        <v>1050000000</v>
      </c>
      <c r="C15" s="74">
        <f aca="true" t="shared" si="7" ref="C15:H15">C16</f>
        <v>0</v>
      </c>
      <c r="D15" s="75">
        <f t="shared" si="7"/>
        <v>0</v>
      </c>
      <c r="E15" s="75">
        <f t="shared" si="7"/>
        <v>0</v>
      </c>
      <c r="F15" s="75">
        <f t="shared" si="7"/>
        <v>0</v>
      </c>
      <c r="G15" s="74">
        <f>G16</f>
        <v>0</v>
      </c>
      <c r="H15" s="75">
        <f t="shared" si="7"/>
        <v>0</v>
      </c>
      <c r="I15" s="68">
        <f t="shared" si="4"/>
        <v>0</v>
      </c>
      <c r="J15" s="68">
        <f t="shared" si="5"/>
        <v>0</v>
      </c>
      <c r="K15" s="74">
        <f>K16</f>
        <v>0</v>
      </c>
      <c r="L15" s="68">
        <f t="shared" si="1"/>
        <v>0</v>
      </c>
      <c r="M15" s="74">
        <f>M16</f>
        <v>0</v>
      </c>
      <c r="N15" s="74">
        <f>N16</f>
        <v>0</v>
      </c>
      <c r="O15" s="68">
        <f t="shared" si="2"/>
        <v>0</v>
      </c>
      <c r="P15" s="74">
        <f>P16</f>
        <v>0</v>
      </c>
      <c r="Q15" s="74">
        <f>Q16</f>
        <v>9.6</v>
      </c>
      <c r="R15" s="74">
        <f>R16</f>
        <v>9.6</v>
      </c>
    </row>
    <row r="16" spans="1:18" ht="18">
      <c r="A16" s="13" t="s">
        <v>7</v>
      </c>
      <c r="B16" s="13">
        <v>1050300001</v>
      </c>
      <c r="C16" s="73"/>
      <c r="D16" s="88"/>
      <c r="E16" s="69">
        <f>C16+D16</f>
        <v>0</v>
      </c>
      <c r="F16" s="69"/>
      <c r="G16" s="73"/>
      <c r="H16" s="71">
        <f>G16+M16</f>
        <v>0</v>
      </c>
      <c r="I16" s="72">
        <f t="shared" si="4"/>
        <v>0</v>
      </c>
      <c r="J16" s="72">
        <f t="shared" si="5"/>
        <v>0</v>
      </c>
      <c r="K16" s="73"/>
      <c r="L16" s="72">
        <f t="shared" si="1"/>
        <v>0</v>
      </c>
      <c r="M16" s="73"/>
      <c r="N16" s="73"/>
      <c r="O16" s="72">
        <f t="shared" si="2"/>
        <v>0</v>
      </c>
      <c r="P16" s="73"/>
      <c r="Q16" s="73">
        <v>9.6</v>
      </c>
      <c r="R16" s="73">
        <v>9.6</v>
      </c>
    </row>
    <row r="17" spans="1:18" ht="18">
      <c r="A17" s="9" t="s">
        <v>77</v>
      </c>
      <c r="B17" s="30">
        <v>1060000000</v>
      </c>
      <c r="C17" s="74">
        <f aca="true" t="shared" si="8" ref="C17:H17">C18+C21</f>
        <v>1344.5</v>
      </c>
      <c r="D17" s="75">
        <f t="shared" si="8"/>
        <v>0</v>
      </c>
      <c r="E17" s="75">
        <f t="shared" si="8"/>
        <v>1344.5</v>
      </c>
      <c r="F17" s="75">
        <f t="shared" si="8"/>
        <v>0</v>
      </c>
      <c r="G17" s="75">
        <f>G18+G21</f>
        <v>187.59999999999997</v>
      </c>
      <c r="H17" s="75">
        <f t="shared" si="8"/>
        <v>318.5</v>
      </c>
      <c r="I17" s="68">
        <f t="shared" si="4"/>
        <v>0.2368910375604314</v>
      </c>
      <c r="J17" s="68">
        <f t="shared" si="5"/>
        <v>0</v>
      </c>
      <c r="K17" s="75">
        <f>K18+K21</f>
        <v>639.8000000000001</v>
      </c>
      <c r="L17" s="68">
        <f t="shared" si="1"/>
        <v>0.4978118161925601</v>
      </c>
      <c r="M17" s="75">
        <f>M18+M21</f>
        <v>130.9</v>
      </c>
      <c r="N17" s="75">
        <f>N18+N21</f>
        <v>165.7</v>
      </c>
      <c r="O17" s="68">
        <f t="shared" si="2"/>
        <v>0.7899818949909476</v>
      </c>
      <c r="P17" s="74">
        <f>P18+P21</f>
        <v>1420.5</v>
      </c>
      <c r="Q17" s="74">
        <f>Q18+Q21</f>
        <v>1542.1</v>
      </c>
      <c r="R17" s="74">
        <f>R18+R21</f>
        <v>1391.2</v>
      </c>
    </row>
    <row r="18" spans="1:18" ht="18">
      <c r="A18" s="13" t="s">
        <v>13</v>
      </c>
      <c r="B18" s="13">
        <v>1060600000</v>
      </c>
      <c r="C18" s="70">
        <f aca="true" t="shared" si="9" ref="C18:H18">C19+C20</f>
        <v>300.5</v>
      </c>
      <c r="D18" s="70">
        <f t="shared" si="9"/>
        <v>0</v>
      </c>
      <c r="E18" s="70">
        <f t="shared" si="9"/>
        <v>300.5</v>
      </c>
      <c r="F18" s="70">
        <f t="shared" si="9"/>
        <v>0</v>
      </c>
      <c r="G18" s="76">
        <f>G19+G20</f>
        <v>177.39999999999998</v>
      </c>
      <c r="H18" s="70">
        <f t="shared" si="9"/>
        <v>279.7</v>
      </c>
      <c r="I18" s="72">
        <f t="shared" si="4"/>
        <v>0.9307820299500832</v>
      </c>
      <c r="J18" s="72">
        <f t="shared" si="5"/>
        <v>0</v>
      </c>
      <c r="K18" s="76">
        <f>K19+K20</f>
        <v>549.9000000000001</v>
      </c>
      <c r="L18" s="72">
        <f t="shared" si="1"/>
        <v>0.5086379341698489</v>
      </c>
      <c r="M18" s="76">
        <f>M19+M20</f>
        <v>102.3</v>
      </c>
      <c r="N18" s="76">
        <f>N19+N20</f>
        <v>125.9</v>
      </c>
      <c r="O18" s="72">
        <f t="shared" si="2"/>
        <v>0.812549642573471</v>
      </c>
      <c r="P18" s="73">
        <f>P19+P20</f>
        <v>1026.3</v>
      </c>
      <c r="Q18" s="73">
        <f>Q19+Q20</f>
        <v>1162.2</v>
      </c>
      <c r="R18" s="73">
        <f>R19+R20</f>
        <v>1039.4</v>
      </c>
    </row>
    <row r="19" spans="1:18" ht="18">
      <c r="A19" s="13" t="s">
        <v>14</v>
      </c>
      <c r="B19" s="13">
        <v>1060603313</v>
      </c>
      <c r="C19" s="73">
        <v>186</v>
      </c>
      <c r="D19" s="70"/>
      <c r="E19" s="69">
        <f>C19+D19</f>
        <v>186</v>
      </c>
      <c r="F19" s="69"/>
      <c r="G19" s="73">
        <v>51.8</v>
      </c>
      <c r="H19" s="71">
        <f>G19+M19</f>
        <v>77</v>
      </c>
      <c r="I19" s="72">
        <f t="shared" si="4"/>
        <v>0.41397849462365593</v>
      </c>
      <c r="J19" s="72">
        <f t="shared" si="5"/>
        <v>0</v>
      </c>
      <c r="K19" s="73">
        <v>32.7</v>
      </c>
      <c r="L19" s="72">
        <f t="shared" si="1"/>
        <v>2.3547400611620795</v>
      </c>
      <c r="M19" s="73">
        <v>25.2</v>
      </c>
      <c r="N19" s="73">
        <v>14.9</v>
      </c>
      <c r="O19" s="72">
        <f t="shared" si="2"/>
        <v>1.691275167785235</v>
      </c>
      <c r="P19" s="73">
        <v>109.5</v>
      </c>
      <c r="Q19" s="73">
        <v>508</v>
      </c>
      <c r="R19" s="73">
        <v>487.9</v>
      </c>
    </row>
    <row r="20" spans="1:18" ht="18">
      <c r="A20" s="13" t="s">
        <v>14</v>
      </c>
      <c r="B20" s="13">
        <v>1060604313</v>
      </c>
      <c r="C20" s="73">
        <v>114.5</v>
      </c>
      <c r="D20" s="70"/>
      <c r="E20" s="69">
        <f>C20+D20</f>
        <v>114.5</v>
      </c>
      <c r="F20" s="69"/>
      <c r="G20" s="73">
        <v>125.6</v>
      </c>
      <c r="H20" s="71">
        <f>G20+M20</f>
        <v>202.7</v>
      </c>
      <c r="I20" s="72">
        <f t="shared" si="4"/>
        <v>1.7703056768558951</v>
      </c>
      <c r="J20" s="72">
        <f t="shared" si="5"/>
        <v>0</v>
      </c>
      <c r="K20" s="73">
        <v>517.2</v>
      </c>
      <c r="L20" s="72">
        <f t="shared" si="1"/>
        <v>0.39191802010827526</v>
      </c>
      <c r="M20" s="73">
        <v>77.1</v>
      </c>
      <c r="N20" s="73">
        <v>111</v>
      </c>
      <c r="O20" s="72">
        <f t="shared" si="2"/>
        <v>0.6945945945945945</v>
      </c>
      <c r="P20" s="73">
        <v>916.8</v>
      </c>
      <c r="Q20" s="73">
        <v>654.2</v>
      </c>
      <c r="R20" s="73">
        <v>551.5</v>
      </c>
    </row>
    <row r="21" spans="1:18" ht="18">
      <c r="A21" s="13" t="s">
        <v>12</v>
      </c>
      <c r="B21" s="13">
        <v>1060103013</v>
      </c>
      <c r="C21" s="73">
        <v>1044</v>
      </c>
      <c r="D21" s="70"/>
      <c r="E21" s="69">
        <f>C21+D21</f>
        <v>1044</v>
      </c>
      <c r="F21" s="69"/>
      <c r="G21" s="73">
        <v>10.2</v>
      </c>
      <c r="H21" s="71">
        <f>G21+M21</f>
        <v>38.8</v>
      </c>
      <c r="I21" s="72">
        <f t="shared" si="4"/>
        <v>0.0371647509578544</v>
      </c>
      <c r="J21" s="72">
        <f t="shared" si="5"/>
        <v>0</v>
      </c>
      <c r="K21" s="73">
        <v>89.9</v>
      </c>
      <c r="L21" s="72">
        <f t="shared" si="1"/>
        <v>0.4315906562847608</v>
      </c>
      <c r="M21" s="73">
        <v>28.6</v>
      </c>
      <c r="N21" s="73">
        <v>39.8</v>
      </c>
      <c r="O21" s="72">
        <f t="shared" si="2"/>
        <v>0.7185929648241207</v>
      </c>
      <c r="P21" s="73">
        <v>394.2</v>
      </c>
      <c r="Q21" s="73">
        <v>379.9</v>
      </c>
      <c r="R21" s="73">
        <v>351.8</v>
      </c>
    </row>
    <row r="22" spans="1:18" ht="18">
      <c r="A22" s="9" t="s">
        <v>79</v>
      </c>
      <c r="B22" s="30">
        <v>1090405010</v>
      </c>
      <c r="C22" s="74"/>
      <c r="D22" s="75"/>
      <c r="E22" s="67">
        <f>C22+D22</f>
        <v>0</v>
      </c>
      <c r="F22" s="67"/>
      <c r="G22" s="74"/>
      <c r="H22" s="77">
        <f>G22+M22</f>
        <v>0</v>
      </c>
      <c r="I22" s="68">
        <f t="shared" si="4"/>
        <v>0</v>
      </c>
      <c r="J22" s="68">
        <f t="shared" si="5"/>
        <v>0</v>
      </c>
      <c r="K22" s="74"/>
      <c r="L22" s="68">
        <f t="shared" si="1"/>
        <v>0</v>
      </c>
      <c r="M22" s="74"/>
      <c r="N22" s="74"/>
      <c r="O22" s="68">
        <f aca="true" t="shared" si="10" ref="O22:O31">IF(N22&gt;0,M22/N22,0)</f>
        <v>0</v>
      </c>
      <c r="P22" s="74"/>
      <c r="Q22" s="74"/>
      <c r="R22" s="74"/>
    </row>
    <row r="23" spans="1:18" ht="18">
      <c r="A23" s="14" t="s">
        <v>24</v>
      </c>
      <c r="B23" s="32"/>
      <c r="C23" s="78">
        <f aca="true" t="shared" si="11" ref="C23:H23">C24+C28+C30+C32+C31+C29</f>
        <v>1228.1309999999999</v>
      </c>
      <c r="D23" s="78">
        <f t="shared" si="11"/>
        <v>0</v>
      </c>
      <c r="E23" s="78">
        <f t="shared" si="11"/>
        <v>1228.1309999999999</v>
      </c>
      <c r="F23" s="78">
        <f t="shared" si="11"/>
        <v>0</v>
      </c>
      <c r="G23" s="78">
        <f>G24+G28+G30+G32+G31+G29</f>
        <v>81.5</v>
      </c>
      <c r="H23" s="78">
        <f t="shared" si="11"/>
        <v>147.5</v>
      </c>
      <c r="I23" s="66">
        <f t="shared" si="4"/>
        <v>0.12010119441655655</v>
      </c>
      <c r="J23" s="66">
        <f t="shared" si="5"/>
        <v>0</v>
      </c>
      <c r="K23" s="78">
        <f>K24+K28+K30+K32+K31+K29</f>
        <v>520.1</v>
      </c>
      <c r="L23" s="66">
        <f t="shared" si="1"/>
        <v>0.2835993078254182</v>
      </c>
      <c r="M23" s="78">
        <f>M24+M28+M30+M32+M31+M29</f>
        <v>66</v>
      </c>
      <c r="N23" s="78">
        <f>N24+N28+N30+N32+N31+N29</f>
        <v>43.39999999999999</v>
      </c>
      <c r="O23" s="66">
        <f t="shared" si="10"/>
        <v>1.5207373271889404</v>
      </c>
      <c r="P23" s="78">
        <f>P24+P28+P30+P32+P31+P29</f>
        <v>93.2</v>
      </c>
      <c r="Q23" s="78">
        <f>Q24+Q28+Q30+Q32+Q31+Q29</f>
        <v>69.9</v>
      </c>
      <c r="R23" s="78">
        <f>R24+R28+R30+R32+R31+R29</f>
        <v>72.9</v>
      </c>
    </row>
    <row r="24" spans="1:18" ht="18">
      <c r="A24" s="9" t="s">
        <v>80</v>
      </c>
      <c r="B24" s="30">
        <v>1110000000</v>
      </c>
      <c r="C24" s="74">
        <f aca="true" t="shared" si="12" ref="C24:H24">C25+C26+C27</f>
        <v>1089.1309999999999</v>
      </c>
      <c r="D24" s="74">
        <f t="shared" si="12"/>
        <v>0</v>
      </c>
      <c r="E24" s="74">
        <f t="shared" si="12"/>
        <v>1089.1309999999999</v>
      </c>
      <c r="F24" s="74">
        <f t="shared" si="12"/>
        <v>0</v>
      </c>
      <c r="G24" s="74">
        <f>G25+G26+G27</f>
        <v>74.9</v>
      </c>
      <c r="H24" s="74">
        <f t="shared" si="12"/>
        <v>141.1</v>
      </c>
      <c r="I24" s="68">
        <f t="shared" si="4"/>
        <v>0.12955282697857284</v>
      </c>
      <c r="J24" s="68">
        <f t="shared" si="5"/>
        <v>0</v>
      </c>
      <c r="K24" s="74">
        <f>K25+K26+K27</f>
        <v>170.3</v>
      </c>
      <c r="L24" s="68">
        <f t="shared" si="1"/>
        <v>0.828537874339401</v>
      </c>
      <c r="M24" s="74">
        <f>M25+M26+M27</f>
        <v>66.2</v>
      </c>
      <c r="N24" s="74">
        <f>N25+N26+N27</f>
        <v>30.4</v>
      </c>
      <c r="O24" s="68">
        <f t="shared" si="10"/>
        <v>2.1776315789473686</v>
      </c>
      <c r="P24" s="74">
        <f>P25+P26+P27</f>
        <v>93.2</v>
      </c>
      <c r="Q24" s="74">
        <f>Q25+Q26+Q27</f>
        <v>69.9</v>
      </c>
      <c r="R24" s="74">
        <f>R25+R26+R27</f>
        <v>72.9</v>
      </c>
    </row>
    <row r="25" spans="1:18" ht="18">
      <c r="A25" s="54" t="s">
        <v>28</v>
      </c>
      <c r="B25" s="13">
        <v>1110501013</v>
      </c>
      <c r="C25" s="73">
        <v>718.5</v>
      </c>
      <c r="D25" s="88"/>
      <c r="E25" s="69">
        <f aca="true" t="shared" si="13" ref="E25:E31">C25+D25</f>
        <v>718.5</v>
      </c>
      <c r="F25" s="69"/>
      <c r="G25" s="73">
        <v>29.9</v>
      </c>
      <c r="H25" s="71">
        <f aca="true" t="shared" si="14" ref="H25:H31">G25+M25</f>
        <v>51</v>
      </c>
      <c r="I25" s="72">
        <f t="shared" si="4"/>
        <v>0.0709812108559499</v>
      </c>
      <c r="J25" s="72">
        <f t="shared" si="5"/>
        <v>0</v>
      </c>
      <c r="K25" s="73">
        <v>70</v>
      </c>
      <c r="L25" s="72">
        <f t="shared" si="1"/>
        <v>0.7285714285714285</v>
      </c>
      <c r="M25" s="73">
        <v>21.1</v>
      </c>
      <c r="N25" s="73">
        <v>1.5</v>
      </c>
      <c r="O25" s="72">
        <f t="shared" si="10"/>
        <v>14.066666666666668</v>
      </c>
      <c r="P25" s="73">
        <v>93.2</v>
      </c>
      <c r="Q25" s="73">
        <v>69.9</v>
      </c>
      <c r="R25" s="73">
        <v>72.9</v>
      </c>
    </row>
    <row r="26" spans="1:18" ht="18">
      <c r="A26" s="13" t="s">
        <v>25</v>
      </c>
      <c r="B26" s="13">
        <v>1110904513</v>
      </c>
      <c r="C26" s="73">
        <v>360.631</v>
      </c>
      <c r="D26" s="70"/>
      <c r="E26" s="69">
        <f t="shared" si="13"/>
        <v>360.631</v>
      </c>
      <c r="F26" s="69"/>
      <c r="G26" s="73">
        <v>45</v>
      </c>
      <c r="H26" s="71">
        <f t="shared" si="14"/>
        <v>90.1</v>
      </c>
      <c r="I26" s="72">
        <f t="shared" si="4"/>
        <v>0.2498398640161273</v>
      </c>
      <c r="J26" s="72">
        <f t="shared" si="5"/>
        <v>0</v>
      </c>
      <c r="K26" s="73">
        <v>100.3</v>
      </c>
      <c r="L26" s="72">
        <f t="shared" si="1"/>
        <v>0.8983050847457626</v>
      </c>
      <c r="M26" s="73">
        <v>45.1</v>
      </c>
      <c r="N26" s="73">
        <v>28.9</v>
      </c>
      <c r="O26" s="72">
        <f t="shared" si="10"/>
        <v>1.5605536332179932</v>
      </c>
      <c r="P26" s="73"/>
      <c r="Q26" s="73"/>
      <c r="R26" s="73"/>
    </row>
    <row r="27" spans="1:18" ht="18">
      <c r="A27" s="31" t="s">
        <v>19</v>
      </c>
      <c r="B27" s="13">
        <v>1110903513</v>
      </c>
      <c r="C27" s="73">
        <v>10</v>
      </c>
      <c r="D27" s="73"/>
      <c r="E27" s="69">
        <f t="shared" si="13"/>
        <v>10</v>
      </c>
      <c r="F27" s="69"/>
      <c r="G27" s="73"/>
      <c r="H27" s="71">
        <f t="shared" si="14"/>
        <v>0</v>
      </c>
      <c r="I27" s="72">
        <f t="shared" si="4"/>
        <v>0</v>
      </c>
      <c r="J27" s="72">
        <f t="shared" si="5"/>
        <v>0</v>
      </c>
      <c r="K27" s="73"/>
      <c r="L27" s="72">
        <f t="shared" si="1"/>
        <v>0</v>
      </c>
      <c r="M27" s="73"/>
      <c r="N27" s="73"/>
      <c r="O27" s="72">
        <f t="shared" si="10"/>
        <v>0</v>
      </c>
      <c r="P27" s="73"/>
      <c r="Q27" s="73"/>
      <c r="R27" s="73"/>
    </row>
    <row r="28" spans="1:18" ht="18">
      <c r="A28" s="9" t="s">
        <v>42</v>
      </c>
      <c r="B28" s="30">
        <v>1130299513</v>
      </c>
      <c r="C28" s="74"/>
      <c r="D28" s="74"/>
      <c r="E28" s="67">
        <f t="shared" si="13"/>
        <v>0</v>
      </c>
      <c r="F28" s="67"/>
      <c r="G28" s="74">
        <v>0.6</v>
      </c>
      <c r="H28" s="77">
        <f t="shared" si="14"/>
        <v>0.6</v>
      </c>
      <c r="I28" s="68">
        <f t="shared" si="4"/>
        <v>0</v>
      </c>
      <c r="J28" s="68">
        <f t="shared" si="5"/>
        <v>0</v>
      </c>
      <c r="K28" s="74"/>
      <c r="L28" s="68">
        <f t="shared" si="1"/>
        <v>0</v>
      </c>
      <c r="M28" s="74"/>
      <c r="N28" s="74"/>
      <c r="O28" s="68">
        <f t="shared" si="10"/>
        <v>0</v>
      </c>
      <c r="P28" s="74"/>
      <c r="Q28" s="74"/>
      <c r="R28" s="74"/>
    </row>
    <row r="29" spans="1:18" ht="18">
      <c r="A29" s="9" t="s">
        <v>81</v>
      </c>
      <c r="B29" s="30">
        <v>1140205313</v>
      </c>
      <c r="C29" s="87">
        <v>100</v>
      </c>
      <c r="D29" s="74"/>
      <c r="E29" s="67">
        <f t="shared" si="13"/>
        <v>100</v>
      </c>
      <c r="F29" s="67"/>
      <c r="G29" s="74">
        <v>3</v>
      </c>
      <c r="H29" s="77">
        <f t="shared" si="14"/>
        <v>2.8</v>
      </c>
      <c r="I29" s="68">
        <f>IF(E29&gt;0,H29/E29,0)</f>
        <v>0.027999999999999997</v>
      </c>
      <c r="J29" s="68">
        <f>IF(F29&gt;0,H29/F29,0)</f>
        <v>0</v>
      </c>
      <c r="K29" s="74">
        <v>130.9</v>
      </c>
      <c r="L29" s="68">
        <f>IF(K29&gt;0,H29/K29,0)</f>
        <v>0.0213903743315508</v>
      </c>
      <c r="M29" s="74">
        <v>-0.2</v>
      </c>
      <c r="N29" s="74"/>
      <c r="O29" s="68">
        <f t="shared" si="10"/>
        <v>0</v>
      </c>
      <c r="P29" s="74"/>
      <c r="Q29" s="74"/>
      <c r="R29" s="74"/>
    </row>
    <row r="30" spans="1:18" ht="18">
      <c r="A30" s="9" t="s">
        <v>82</v>
      </c>
      <c r="B30" s="30">
        <v>1140601413</v>
      </c>
      <c r="C30" s="87"/>
      <c r="D30" s="74"/>
      <c r="E30" s="77">
        <f t="shared" si="13"/>
        <v>0</v>
      </c>
      <c r="F30" s="77"/>
      <c r="G30" s="74"/>
      <c r="H30" s="77">
        <f t="shared" si="14"/>
        <v>0</v>
      </c>
      <c r="I30" s="68">
        <f t="shared" si="4"/>
        <v>0</v>
      </c>
      <c r="J30" s="68">
        <f t="shared" si="5"/>
        <v>0</v>
      </c>
      <c r="K30" s="74">
        <v>11.9</v>
      </c>
      <c r="L30" s="68">
        <f t="shared" si="1"/>
        <v>0</v>
      </c>
      <c r="M30" s="74"/>
      <c r="N30" s="74">
        <v>10.2</v>
      </c>
      <c r="O30" s="68">
        <f t="shared" si="10"/>
        <v>0</v>
      </c>
      <c r="P30" s="74"/>
      <c r="Q30" s="74"/>
      <c r="R30" s="74"/>
    </row>
    <row r="31" spans="1:18" ht="18">
      <c r="A31" s="9" t="s">
        <v>83</v>
      </c>
      <c r="B31" s="55">
        <v>1160000000</v>
      </c>
      <c r="C31" s="74">
        <v>39</v>
      </c>
      <c r="D31" s="74"/>
      <c r="E31" s="77">
        <f t="shared" si="13"/>
        <v>39</v>
      </c>
      <c r="F31" s="77"/>
      <c r="G31" s="74">
        <v>3</v>
      </c>
      <c r="H31" s="77">
        <f t="shared" si="14"/>
        <v>3</v>
      </c>
      <c r="I31" s="68">
        <f t="shared" si="4"/>
        <v>0.07692307692307693</v>
      </c>
      <c r="J31" s="68">
        <f t="shared" si="5"/>
        <v>0</v>
      </c>
      <c r="K31" s="74">
        <v>207</v>
      </c>
      <c r="L31" s="68">
        <f t="shared" si="1"/>
        <v>0.014492753623188406</v>
      </c>
      <c r="M31" s="74"/>
      <c r="N31" s="74">
        <v>2.8</v>
      </c>
      <c r="O31" s="68">
        <f t="shared" si="10"/>
        <v>0</v>
      </c>
      <c r="P31" s="74"/>
      <c r="Q31" s="74"/>
      <c r="R31" s="74"/>
    </row>
    <row r="32" spans="1:18" ht="18">
      <c r="A32" s="9" t="s">
        <v>75</v>
      </c>
      <c r="B32" s="30">
        <v>1170000000</v>
      </c>
      <c r="C32" s="74">
        <f>SUM(C33:C34)</f>
        <v>0</v>
      </c>
      <c r="D32" s="74">
        <f aca="true" t="shared" si="15" ref="D32:R32">SUM(D33:D34)</f>
        <v>0</v>
      </c>
      <c r="E32" s="74">
        <f t="shared" si="15"/>
        <v>0</v>
      </c>
      <c r="F32" s="74">
        <f t="shared" si="15"/>
        <v>0</v>
      </c>
      <c r="G32" s="74"/>
      <c r="H32" s="74">
        <f t="shared" si="15"/>
        <v>0</v>
      </c>
      <c r="I32" s="68">
        <f t="shared" si="4"/>
        <v>0</v>
      </c>
      <c r="J32" s="68">
        <f t="shared" si="5"/>
        <v>0</v>
      </c>
      <c r="K32" s="74">
        <f>SUM(K33:K34)</f>
        <v>0</v>
      </c>
      <c r="L32" s="68">
        <f t="shared" si="1"/>
        <v>0</v>
      </c>
      <c r="M32" s="74"/>
      <c r="N32" s="74"/>
      <c r="O32" s="74">
        <f t="shared" si="15"/>
        <v>0</v>
      </c>
      <c r="P32" s="74">
        <f t="shared" si="15"/>
        <v>0</v>
      </c>
      <c r="Q32" s="74">
        <f>SUM(Q33:Q34)</f>
        <v>0</v>
      </c>
      <c r="R32" s="74">
        <f t="shared" si="15"/>
        <v>0</v>
      </c>
    </row>
    <row r="33" spans="1:18" ht="18">
      <c r="A33" s="13" t="s">
        <v>8</v>
      </c>
      <c r="B33" s="13">
        <v>1170103003</v>
      </c>
      <c r="C33" s="73"/>
      <c r="D33" s="73"/>
      <c r="E33" s="69">
        <f>C33+D33</f>
        <v>0</v>
      </c>
      <c r="F33" s="69"/>
      <c r="G33" s="73"/>
      <c r="H33" s="70">
        <f>G33+M33</f>
        <v>0</v>
      </c>
      <c r="I33" s="72">
        <f t="shared" si="4"/>
        <v>0</v>
      </c>
      <c r="J33" s="72">
        <f t="shared" si="5"/>
        <v>0</v>
      </c>
      <c r="K33" s="79"/>
      <c r="L33" s="72">
        <f t="shared" si="1"/>
        <v>0</v>
      </c>
      <c r="M33" s="73"/>
      <c r="N33" s="73"/>
      <c r="O33" s="72">
        <f aca="true" t="shared" si="16" ref="O33:O39">IF(N33&gt;0,M33/N33,0)</f>
        <v>0</v>
      </c>
      <c r="P33" s="81"/>
      <c r="Q33" s="81"/>
      <c r="R33" s="81"/>
    </row>
    <row r="34" spans="1:18" ht="18">
      <c r="A34" s="13" t="s">
        <v>37</v>
      </c>
      <c r="B34" s="13">
        <v>1170505013</v>
      </c>
      <c r="C34" s="73"/>
      <c r="D34" s="70"/>
      <c r="E34" s="69">
        <f>C34+D34</f>
        <v>0</v>
      </c>
      <c r="F34" s="69"/>
      <c r="G34" s="73"/>
      <c r="H34" s="71">
        <f>G34+M34</f>
        <v>0</v>
      </c>
      <c r="I34" s="72">
        <f>IF(E34&gt;0,H34/E34,0)</f>
        <v>0</v>
      </c>
      <c r="J34" s="72">
        <f>IF(F34&gt;0,H34/F34,0)</f>
        <v>0</v>
      </c>
      <c r="K34" s="79"/>
      <c r="L34" s="72">
        <f>IF(K34&gt;0,H34/K34,0)</f>
        <v>0</v>
      </c>
      <c r="M34" s="73"/>
      <c r="N34" s="79"/>
      <c r="O34" s="72">
        <f t="shared" si="16"/>
        <v>0</v>
      </c>
      <c r="P34" s="73"/>
      <c r="Q34" s="73"/>
      <c r="R34" s="73"/>
    </row>
    <row r="35" spans="1:18" ht="18">
      <c r="A35" s="9" t="s">
        <v>6</v>
      </c>
      <c r="B35" s="9">
        <v>1000000000</v>
      </c>
      <c r="C35" s="82">
        <f aca="true" t="shared" si="17" ref="C35:H35">C5+C23</f>
        <v>8514.430999999999</v>
      </c>
      <c r="D35" s="83">
        <f t="shared" si="17"/>
        <v>0</v>
      </c>
      <c r="E35" s="82">
        <f t="shared" si="17"/>
        <v>8514.430999999999</v>
      </c>
      <c r="F35" s="83">
        <f t="shared" si="17"/>
        <v>0</v>
      </c>
      <c r="G35" s="83">
        <f>G5+G23</f>
        <v>946.5</v>
      </c>
      <c r="H35" s="83">
        <f t="shared" si="17"/>
        <v>1670.8000000000002</v>
      </c>
      <c r="I35" s="84">
        <f t="shared" si="4"/>
        <v>0.19623155088108651</v>
      </c>
      <c r="J35" s="84">
        <f t="shared" si="5"/>
        <v>0</v>
      </c>
      <c r="K35" s="83">
        <f>K5+K23</f>
        <v>2289.3</v>
      </c>
      <c r="L35" s="84">
        <f t="shared" si="1"/>
        <v>0.7298300790634692</v>
      </c>
      <c r="M35" s="83">
        <f>M5+M23</f>
        <v>724.3000000000001</v>
      </c>
      <c r="N35" s="83">
        <f>N5+N23</f>
        <v>623.1999999999999</v>
      </c>
      <c r="O35" s="84">
        <f t="shared" si="16"/>
        <v>1.162227214377407</v>
      </c>
      <c r="P35" s="83">
        <f>P5+P23</f>
        <v>1516.3</v>
      </c>
      <c r="Q35" s="83">
        <f>Q5+Q23</f>
        <v>1624.1</v>
      </c>
      <c r="R35" s="130">
        <f>R5+R23</f>
        <v>1476.2</v>
      </c>
    </row>
    <row r="36" spans="1:18" ht="18">
      <c r="A36" s="9" t="s">
        <v>98</v>
      </c>
      <c r="B36" s="9"/>
      <c r="C36" s="82">
        <f aca="true" t="shared" si="18" ref="C36:H36">C35-C10</f>
        <v>7632.330999999998</v>
      </c>
      <c r="D36" s="82">
        <f t="shared" si="18"/>
        <v>0</v>
      </c>
      <c r="E36" s="82">
        <f t="shared" si="18"/>
        <v>7632.330999999998</v>
      </c>
      <c r="F36" s="83">
        <f t="shared" si="18"/>
        <v>0</v>
      </c>
      <c r="G36" s="83">
        <f>G35-G10</f>
        <v>811.7</v>
      </c>
      <c r="H36" s="83">
        <f t="shared" si="18"/>
        <v>1354.9</v>
      </c>
      <c r="I36" s="84">
        <f>IF(E36&gt;0,H36/E36,0)</f>
        <v>0.17752112690081187</v>
      </c>
      <c r="J36" s="84">
        <f>IF(F36&gt;0,H36/F36,0)</f>
        <v>0</v>
      </c>
      <c r="K36" s="83">
        <f>K35-K10</f>
        <v>2038.5000000000002</v>
      </c>
      <c r="L36" s="84">
        <f t="shared" si="1"/>
        <v>0.6646553838606818</v>
      </c>
      <c r="M36" s="83">
        <f>M35-M10</f>
        <v>543.2</v>
      </c>
      <c r="N36" s="83">
        <f>N35-N10</f>
        <v>535.8</v>
      </c>
      <c r="O36" s="84"/>
      <c r="P36" s="83"/>
      <c r="Q36" s="83"/>
      <c r="R36" s="130"/>
    </row>
    <row r="37" spans="1:18" ht="18">
      <c r="A37" s="13" t="s">
        <v>40</v>
      </c>
      <c r="B37" s="13">
        <v>2000000000</v>
      </c>
      <c r="C37" s="88">
        <v>4316.269</v>
      </c>
      <c r="D37" s="88">
        <f>976.447</f>
        <v>976.447</v>
      </c>
      <c r="E37" s="85">
        <f>C37+D37</f>
        <v>5292.716</v>
      </c>
      <c r="F37" s="69"/>
      <c r="G37" s="73">
        <v>1</v>
      </c>
      <c r="H37" s="70">
        <f>G37+M37</f>
        <v>1</v>
      </c>
      <c r="I37" s="72">
        <f t="shared" si="4"/>
        <v>0.0001889389115153732</v>
      </c>
      <c r="J37" s="72">
        <f t="shared" si="5"/>
        <v>0</v>
      </c>
      <c r="K37" s="73">
        <v>1.3</v>
      </c>
      <c r="L37" s="72">
        <f t="shared" si="1"/>
        <v>0.7692307692307692</v>
      </c>
      <c r="M37" s="73"/>
      <c r="N37" s="73"/>
      <c r="O37" s="72">
        <f t="shared" si="16"/>
        <v>0</v>
      </c>
      <c r="P37" s="73"/>
      <c r="Q37" s="73"/>
      <c r="R37" s="73"/>
    </row>
    <row r="38" spans="1:18" ht="18">
      <c r="A38" s="13" t="s">
        <v>51</v>
      </c>
      <c r="B38" s="34" t="s">
        <v>111</v>
      </c>
      <c r="C38" s="73"/>
      <c r="D38" s="70"/>
      <c r="E38" s="69">
        <f>C38+D38</f>
        <v>0</v>
      </c>
      <c r="F38" s="69"/>
      <c r="G38" s="73"/>
      <c r="H38" s="70">
        <f>G38+M38</f>
        <v>0</v>
      </c>
      <c r="I38" s="72">
        <f>IF(E38&gt;0,H38/E38,0)</f>
        <v>0</v>
      </c>
      <c r="J38" s="72">
        <f>IF(F38&gt;0,H38/F38,0)</f>
        <v>0</v>
      </c>
      <c r="K38" s="73">
        <v>434.8</v>
      </c>
      <c r="L38" s="72">
        <f t="shared" si="1"/>
        <v>0</v>
      </c>
      <c r="M38" s="73"/>
      <c r="N38" s="73">
        <v>434.8</v>
      </c>
      <c r="O38" s="72">
        <f t="shared" si="16"/>
        <v>0</v>
      </c>
      <c r="P38" s="73"/>
      <c r="Q38" s="73"/>
      <c r="R38" s="73"/>
    </row>
    <row r="39" spans="1:18" ht="18">
      <c r="A39" s="9" t="s">
        <v>2</v>
      </c>
      <c r="B39" s="9">
        <v>0</v>
      </c>
      <c r="C39" s="82">
        <f aca="true" t="shared" si="19" ref="C39:H39">C35+C37+C38</f>
        <v>12830.699999999999</v>
      </c>
      <c r="D39" s="82">
        <f t="shared" si="19"/>
        <v>976.447</v>
      </c>
      <c r="E39" s="82">
        <f t="shared" si="19"/>
        <v>13807.146999999999</v>
      </c>
      <c r="F39" s="83">
        <f t="shared" si="19"/>
        <v>0</v>
      </c>
      <c r="G39" s="83">
        <f t="shared" si="19"/>
        <v>947.5</v>
      </c>
      <c r="H39" s="83">
        <f t="shared" si="19"/>
        <v>1671.8000000000002</v>
      </c>
      <c r="I39" s="84">
        <f t="shared" si="4"/>
        <v>0.12108221923037397</v>
      </c>
      <c r="J39" s="84">
        <f t="shared" si="5"/>
        <v>0</v>
      </c>
      <c r="K39" s="83">
        <f>K35+K37+K38</f>
        <v>2725.4000000000005</v>
      </c>
      <c r="L39" s="84">
        <f t="shared" si="1"/>
        <v>0.6134145446539957</v>
      </c>
      <c r="M39" s="83">
        <f>M35+M37+M38</f>
        <v>724.3000000000001</v>
      </c>
      <c r="N39" s="83">
        <f>N35+N37+N38</f>
        <v>1058</v>
      </c>
      <c r="O39" s="84">
        <f t="shared" si="16"/>
        <v>0.684593572778828</v>
      </c>
      <c r="P39" s="83">
        <f>P35+P37+P38</f>
        <v>1516.3</v>
      </c>
      <c r="Q39" s="83">
        <f>Q35+Q37+Q38</f>
        <v>1624.1</v>
      </c>
      <c r="R39" s="83">
        <f>R35+R37+R38</f>
        <v>1476.2</v>
      </c>
    </row>
  </sheetData>
  <sheetProtection/>
  <mergeCells count="15">
    <mergeCell ref="A3:A4"/>
    <mergeCell ref="B3:B4"/>
    <mergeCell ref="C3:C4"/>
    <mergeCell ref="D3:D4"/>
    <mergeCell ref="C1:N1"/>
    <mergeCell ref="B2:R2"/>
    <mergeCell ref="G3:G4"/>
    <mergeCell ref="M3:M4"/>
    <mergeCell ref="E3:E4"/>
    <mergeCell ref="P3:R3"/>
    <mergeCell ref="K3:L3"/>
    <mergeCell ref="F3:F4"/>
    <mergeCell ref="H3:J3"/>
    <mergeCell ref="N3:N4"/>
    <mergeCell ref="O3:O4"/>
  </mergeCells>
  <printOptions/>
  <pageMargins left="0.75" right="0.75" top="1" bottom="1" header="0.5" footer="0.5"/>
  <pageSetup horizontalDpi="300" verticalDpi="3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7" sqref="R7:R23"/>
    </sheetView>
  </sheetViews>
  <sheetFormatPr defaultColWidth="9.00390625" defaultRowHeight="12.75"/>
  <cols>
    <col min="1" max="1" width="38.625" style="0" customWidth="1"/>
    <col min="2" max="2" width="15.375" style="0" customWidth="1"/>
    <col min="3" max="3" width="12.625" style="0" customWidth="1"/>
    <col min="4" max="5" width="12.25390625" style="0" customWidth="1"/>
    <col min="6" max="6" width="11.00390625" style="0" hidden="1" customWidth="1"/>
    <col min="7" max="7" width="10.00390625" style="0" customWidth="1"/>
    <col min="8" max="8" width="11.375" style="0" customWidth="1"/>
    <col min="9" max="9" width="11.875" style="0" customWidth="1"/>
    <col min="10" max="10" width="0.12890625" style="0" customWidth="1"/>
    <col min="11" max="11" width="10.625" style="0" customWidth="1"/>
    <col min="12" max="12" width="12.125" style="0" customWidth="1"/>
    <col min="13" max="13" width="10.125" style="0" customWidth="1"/>
    <col min="14" max="14" width="11.125" style="0" customWidth="1"/>
    <col min="15" max="15" width="13.625" style="0" customWidth="1"/>
    <col min="16" max="16" width="10.375" style="0" customWidth="1"/>
    <col min="17" max="17" width="10.75390625" style="0" customWidth="1"/>
    <col min="18" max="18" width="10.625" style="0" customWidth="1"/>
  </cols>
  <sheetData>
    <row r="1" spans="1:18" ht="15.75">
      <c r="A1" s="26"/>
      <c r="B1" s="48"/>
      <c r="C1" s="143" t="s">
        <v>11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49"/>
      <c r="O1" s="49"/>
      <c r="P1" s="26"/>
      <c r="Q1" s="26"/>
      <c r="R1" s="26"/>
    </row>
    <row r="2" spans="1:18" ht="15.75">
      <c r="A2" s="26"/>
      <c r="B2" s="144" t="s">
        <v>115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18" ht="18" customHeight="1">
      <c r="A3" s="145" t="s">
        <v>3</v>
      </c>
      <c r="B3" s="136" t="s">
        <v>4</v>
      </c>
      <c r="C3" s="136" t="s">
        <v>102</v>
      </c>
      <c r="D3" s="141" t="s">
        <v>26</v>
      </c>
      <c r="E3" s="141" t="s">
        <v>103</v>
      </c>
      <c r="F3" s="136" t="s">
        <v>105</v>
      </c>
      <c r="G3" s="136" t="s">
        <v>106</v>
      </c>
      <c r="H3" s="136" t="s">
        <v>104</v>
      </c>
      <c r="I3" s="136"/>
      <c r="J3" s="136"/>
      <c r="K3" s="136" t="s">
        <v>53</v>
      </c>
      <c r="L3" s="136"/>
      <c r="M3" s="136" t="s">
        <v>108</v>
      </c>
      <c r="N3" s="136" t="s">
        <v>109</v>
      </c>
      <c r="O3" s="138" t="s">
        <v>20</v>
      </c>
      <c r="P3" s="138" t="s">
        <v>9</v>
      </c>
      <c r="Q3" s="138"/>
      <c r="R3" s="138"/>
    </row>
    <row r="4" spans="1:18" ht="98.25" customHeight="1">
      <c r="A4" s="146"/>
      <c r="B4" s="147"/>
      <c r="C4" s="136"/>
      <c r="D4" s="142"/>
      <c r="E4" s="141"/>
      <c r="F4" s="136"/>
      <c r="G4" s="136"/>
      <c r="H4" s="47" t="s">
        <v>107</v>
      </c>
      <c r="I4" s="47" t="s">
        <v>10</v>
      </c>
      <c r="J4" s="47" t="s">
        <v>31</v>
      </c>
      <c r="K4" s="47" t="s">
        <v>107</v>
      </c>
      <c r="L4" s="47" t="s">
        <v>32</v>
      </c>
      <c r="M4" s="136"/>
      <c r="N4" s="136"/>
      <c r="O4" s="138"/>
      <c r="P4" s="129" t="s">
        <v>101</v>
      </c>
      <c r="Q4" s="129" t="s">
        <v>110</v>
      </c>
      <c r="R4" s="129" t="s">
        <v>116</v>
      </c>
    </row>
    <row r="5" spans="1:18" ht="21" customHeight="1">
      <c r="A5" s="51" t="s">
        <v>23</v>
      </c>
      <c r="B5" s="52"/>
      <c r="C5" s="89">
        <f aca="true" t="shared" si="0" ref="C5:H5">C6+C16+C18+C23+C24+C11</f>
        <v>551.2</v>
      </c>
      <c r="D5" s="89">
        <f t="shared" si="0"/>
        <v>64.41</v>
      </c>
      <c r="E5" s="89">
        <f t="shared" si="0"/>
        <v>615.61</v>
      </c>
      <c r="F5" s="89">
        <f t="shared" si="0"/>
        <v>0</v>
      </c>
      <c r="G5" s="89">
        <f t="shared" si="0"/>
        <v>67.8</v>
      </c>
      <c r="H5" s="89">
        <f t="shared" si="0"/>
        <v>146.9</v>
      </c>
      <c r="I5" s="66">
        <f aca="true" t="shared" si="1" ref="I5:I40">IF(E5&gt;0,H5/E5,0)</f>
        <v>0.23862510355582267</v>
      </c>
      <c r="J5" s="66">
        <f>IF(F5&gt;0,H5/F5,0)</f>
        <v>0</v>
      </c>
      <c r="K5" s="89">
        <f>K6+K16+K18+K23+K24+K11</f>
        <v>104.3</v>
      </c>
      <c r="L5" s="66">
        <f>IF(K5&gt;0,H5/K5,0)</f>
        <v>1.4084372003835093</v>
      </c>
      <c r="M5" s="89">
        <f>M6+M16+M18+M23+M24+M11</f>
        <v>79.1</v>
      </c>
      <c r="N5" s="89">
        <f>N6+N16+N18+N23+N24+N11</f>
        <v>29.700000000000003</v>
      </c>
      <c r="O5" s="66">
        <f aca="true" t="shared" si="2" ref="O5:O32">IF(N5&gt;0,M5/N5,0)</f>
        <v>2.663299663299663</v>
      </c>
      <c r="P5" s="89">
        <f>P6+P16+P18+P23+P24+P11</f>
        <v>27.1</v>
      </c>
      <c r="Q5" s="89">
        <f>Q6+Q16+Q18+Q23+Q24+Q11</f>
        <v>25.400000000000002</v>
      </c>
      <c r="R5" s="89">
        <f>R6+R16+R18+R23+R24+R11</f>
        <v>23.900000000000002</v>
      </c>
    </row>
    <row r="6" spans="1:18" ht="16.5" customHeight="1">
      <c r="A6" s="9" t="s">
        <v>69</v>
      </c>
      <c r="B6" s="53">
        <v>1010200001</v>
      </c>
      <c r="C6" s="90">
        <f aca="true" t="shared" si="3" ref="C6:H6">C7+C8+C9+C10</f>
        <v>269.1</v>
      </c>
      <c r="D6" s="90">
        <f t="shared" si="3"/>
        <v>0</v>
      </c>
      <c r="E6" s="90">
        <f t="shared" si="3"/>
        <v>269.1</v>
      </c>
      <c r="F6" s="90">
        <f t="shared" si="3"/>
        <v>0</v>
      </c>
      <c r="G6" s="90">
        <f t="shared" si="3"/>
        <v>23.400000000000002</v>
      </c>
      <c r="H6" s="90">
        <f t="shared" si="3"/>
        <v>50.1</v>
      </c>
      <c r="I6" s="68">
        <f t="shared" si="1"/>
        <v>0.18617614269788182</v>
      </c>
      <c r="J6" s="68">
        <f>IF(F6&gt;0,H6/F6,0)</f>
        <v>0</v>
      </c>
      <c r="K6" s="90">
        <f>K7+K8+K9+K10</f>
        <v>41.5</v>
      </c>
      <c r="L6" s="68">
        <f aca="true" t="shared" si="4" ref="L6:L40">IF(K6&gt;0,H6/K6,0)</f>
        <v>1.2072289156626506</v>
      </c>
      <c r="M6" s="90">
        <f>M7+M8+M9+M10</f>
        <v>26.7</v>
      </c>
      <c r="N6" s="90">
        <f>N7+N8+N9+N10</f>
        <v>8.8</v>
      </c>
      <c r="O6" s="68">
        <f t="shared" si="2"/>
        <v>3.0340909090909087</v>
      </c>
      <c r="P6" s="90">
        <f>P7+P8+P9+P10</f>
        <v>0</v>
      </c>
      <c r="Q6" s="90">
        <f>Q7+Q8+Q9+Q10</f>
        <v>0</v>
      </c>
      <c r="R6" s="90">
        <f>R7+R8+R9+R10</f>
        <v>0</v>
      </c>
    </row>
    <row r="7" spans="1:18" ht="18">
      <c r="A7" s="10" t="s">
        <v>49</v>
      </c>
      <c r="B7" s="13">
        <v>1010201001</v>
      </c>
      <c r="C7" s="73">
        <v>268.5</v>
      </c>
      <c r="D7" s="70"/>
      <c r="E7" s="69">
        <f>C7+D7</f>
        <v>268.5</v>
      </c>
      <c r="F7" s="69"/>
      <c r="G7" s="70">
        <v>23.3</v>
      </c>
      <c r="H7" s="71">
        <f>G7+M7</f>
        <v>50</v>
      </c>
      <c r="I7" s="72">
        <f t="shared" si="1"/>
        <v>0.186219739292365</v>
      </c>
      <c r="J7" s="72">
        <f aca="true" t="shared" si="5" ref="J7:J40">IF(F7&gt;0,H7/F7,0)</f>
        <v>0</v>
      </c>
      <c r="K7" s="70">
        <v>41.5</v>
      </c>
      <c r="L7" s="72">
        <f t="shared" si="4"/>
        <v>1.2048192771084338</v>
      </c>
      <c r="M7" s="70">
        <v>26.7</v>
      </c>
      <c r="N7" s="70">
        <v>8.8</v>
      </c>
      <c r="O7" s="72">
        <f t="shared" si="2"/>
        <v>3.0340909090909087</v>
      </c>
      <c r="P7" s="73"/>
      <c r="Q7" s="73"/>
      <c r="R7" s="73"/>
    </row>
    <row r="8" spans="1:18" ht="18">
      <c r="A8" s="10" t="s">
        <v>48</v>
      </c>
      <c r="B8" s="13">
        <v>1010202001</v>
      </c>
      <c r="C8" s="73"/>
      <c r="D8" s="70"/>
      <c r="E8" s="69">
        <f>C8+D8</f>
        <v>0</v>
      </c>
      <c r="F8" s="69"/>
      <c r="G8" s="73"/>
      <c r="H8" s="71">
        <f>G8+M8</f>
        <v>0</v>
      </c>
      <c r="I8" s="72">
        <f t="shared" si="1"/>
        <v>0</v>
      </c>
      <c r="J8" s="72">
        <f t="shared" si="5"/>
        <v>0</v>
      </c>
      <c r="K8" s="73"/>
      <c r="L8" s="72">
        <f>IF(K8&gt;0,H8/K8,0)</f>
        <v>0</v>
      </c>
      <c r="M8" s="73"/>
      <c r="N8" s="73"/>
      <c r="O8" s="72">
        <f>IF(N8&gt;0,M8/N8,0)</f>
        <v>0</v>
      </c>
      <c r="P8" s="69"/>
      <c r="Q8" s="69"/>
      <c r="R8" s="69"/>
    </row>
    <row r="9" spans="1:18" ht="18" customHeight="1">
      <c r="A9" s="10" t="s">
        <v>46</v>
      </c>
      <c r="B9" s="13">
        <v>1010203001</v>
      </c>
      <c r="C9" s="73">
        <v>0.6</v>
      </c>
      <c r="D9" s="73"/>
      <c r="E9" s="69">
        <f>C9+D9</f>
        <v>0.6</v>
      </c>
      <c r="F9" s="69"/>
      <c r="G9" s="73">
        <v>0.1</v>
      </c>
      <c r="H9" s="71">
        <f>G9+M9</f>
        <v>0.1</v>
      </c>
      <c r="I9" s="72">
        <f t="shared" si="1"/>
        <v>0.16666666666666669</v>
      </c>
      <c r="J9" s="72">
        <f t="shared" si="5"/>
        <v>0</v>
      </c>
      <c r="K9" s="73"/>
      <c r="L9" s="72">
        <f t="shared" si="4"/>
        <v>0</v>
      </c>
      <c r="M9" s="73"/>
      <c r="N9" s="73"/>
      <c r="O9" s="72">
        <f t="shared" si="2"/>
        <v>0</v>
      </c>
      <c r="P9" s="73"/>
      <c r="Q9" s="73"/>
      <c r="R9" s="73"/>
    </row>
    <row r="10" spans="1:18" ht="1.5" customHeight="1" hidden="1">
      <c r="A10" s="10" t="s">
        <v>47</v>
      </c>
      <c r="B10" s="13">
        <v>1010204001</v>
      </c>
      <c r="C10" s="73"/>
      <c r="D10" s="73"/>
      <c r="E10" s="69">
        <f>C10+D10</f>
        <v>0</v>
      </c>
      <c r="F10" s="69"/>
      <c r="G10" s="73"/>
      <c r="H10" s="71">
        <f>G10+M10</f>
        <v>0</v>
      </c>
      <c r="I10" s="72">
        <f t="shared" si="1"/>
        <v>0</v>
      </c>
      <c r="J10" s="72">
        <f t="shared" si="5"/>
        <v>0</v>
      </c>
      <c r="K10" s="73"/>
      <c r="L10" s="72">
        <f t="shared" si="4"/>
        <v>0</v>
      </c>
      <c r="M10" s="73"/>
      <c r="N10" s="73"/>
      <c r="O10" s="72">
        <f t="shared" si="2"/>
        <v>0</v>
      </c>
      <c r="P10" s="73"/>
      <c r="Q10" s="73"/>
      <c r="R10" s="73"/>
    </row>
    <row r="11" spans="1:18" ht="15.75" customHeight="1">
      <c r="A11" s="11" t="s">
        <v>54</v>
      </c>
      <c r="B11" s="19">
        <v>1030200001</v>
      </c>
      <c r="C11" s="74">
        <f aca="true" t="shared" si="6" ref="C11:H11">SUM(C12:C15)</f>
        <v>169.4</v>
      </c>
      <c r="D11" s="74">
        <f t="shared" si="6"/>
        <v>0</v>
      </c>
      <c r="E11" s="74">
        <f t="shared" si="6"/>
        <v>169.4</v>
      </c>
      <c r="F11" s="74"/>
      <c r="G11" s="74">
        <f>SUM(G12:G15)</f>
        <v>25.699999999999996</v>
      </c>
      <c r="H11" s="74">
        <f t="shared" si="6"/>
        <v>60.4</v>
      </c>
      <c r="I11" s="68">
        <f t="shared" si="1"/>
        <v>0.35655253837072015</v>
      </c>
      <c r="J11" s="68">
        <f>IF(F11&gt;0,H11/F11,0)</f>
        <v>0</v>
      </c>
      <c r="K11" s="74">
        <f>SUM(K12:K15)</f>
        <v>54.8</v>
      </c>
      <c r="L11" s="68">
        <f t="shared" si="4"/>
        <v>1.102189781021898</v>
      </c>
      <c r="M11" s="74">
        <f>SUM(M12:M15)</f>
        <v>34.699999999999996</v>
      </c>
      <c r="N11" s="74">
        <f>SUM(N12:N15)</f>
        <v>19.2</v>
      </c>
      <c r="O11" s="68">
        <f t="shared" si="2"/>
        <v>1.8072916666666665</v>
      </c>
      <c r="P11" s="74">
        <f>SUM(P12:P15)</f>
        <v>0</v>
      </c>
      <c r="Q11" s="74">
        <f>SUM(Q12:Q15)</f>
        <v>0</v>
      </c>
      <c r="R11" s="74">
        <f>SUM(R12:R15)</f>
        <v>0</v>
      </c>
    </row>
    <row r="12" spans="1:18" ht="22.5" customHeight="1">
      <c r="A12" s="12" t="s">
        <v>55</v>
      </c>
      <c r="B12" s="12">
        <v>1030223001</v>
      </c>
      <c r="C12" s="73">
        <v>50.9</v>
      </c>
      <c r="D12" s="73"/>
      <c r="E12" s="69">
        <f>C12+D12</f>
        <v>50.9</v>
      </c>
      <c r="F12" s="69"/>
      <c r="G12" s="73">
        <v>9.7</v>
      </c>
      <c r="H12" s="71">
        <f>G12+M12</f>
        <v>20.4</v>
      </c>
      <c r="I12" s="72">
        <f t="shared" si="1"/>
        <v>0.40078585461689586</v>
      </c>
      <c r="J12" s="72">
        <f>IF(F12&gt;0,H12/F12,0)</f>
        <v>0</v>
      </c>
      <c r="K12" s="73">
        <v>21.7</v>
      </c>
      <c r="L12" s="72">
        <f t="shared" si="4"/>
        <v>0.9400921658986174</v>
      </c>
      <c r="M12" s="73">
        <v>10.7</v>
      </c>
      <c r="N12" s="73">
        <v>7.9</v>
      </c>
      <c r="O12" s="72">
        <f t="shared" si="2"/>
        <v>1.3544303797468353</v>
      </c>
      <c r="P12" s="73"/>
      <c r="Q12" s="73"/>
      <c r="R12" s="73"/>
    </row>
    <row r="13" spans="1:18" ht="18.75" customHeight="1">
      <c r="A13" s="12" t="s">
        <v>56</v>
      </c>
      <c r="B13" s="12">
        <v>1030224001</v>
      </c>
      <c r="C13" s="73">
        <v>1.7</v>
      </c>
      <c r="D13" s="73"/>
      <c r="E13" s="69">
        <f>C13+D13</f>
        <v>1.7</v>
      </c>
      <c r="F13" s="69"/>
      <c r="G13" s="73">
        <v>0.2</v>
      </c>
      <c r="H13" s="71">
        <f>G13+M13</f>
        <v>0.5</v>
      </c>
      <c r="I13" s="72">
        <f t="shared" si="1"/>
        <v>0.29411764705882354</v>
      </c>
      <c r="J13" s="72">
        <f>IF(F13&gt;0,H13/F13,0)</f>
        <v>0</v>
      </c>
      <c r="K13" s="73">
        <v>0.3</v>
      </c>
      <c r="L13" s="72">
        <f t="shared" si="4"/>
        <v>1.6666666666666667</v>
      </c>
      <c r="M13" s="73">
        <v>0.3</v>
      </c>
      <c r="N13" s="73">
        <v>0.1</v>
      </c>
      <c r="O13" s="72">
        <f t="shared" si="2"/>
        <v>2.9999999999999996</v>
      </c>
      <c r="P13" s="73"/>
      <c r="Q13" s="73"/>
      <c r="R13" s="73"/>
    </row>
    <row r="14" spans="1:18" ht="19.5" customHeight="1">
      <c r="A14" s="12" t="s">
        <v>57</v>
      </c>
      <c r="B14" s="12">
        <v>1030225001</v>
      </c>
      <c r="C14" s="73">
        <v>114</v>
      </c>
      <c r="D14" s="73"/>
      <c r="E14" s="69">
        <f>C14+D14</f>
        <v>114</v>
      </c>
      <c r="F14" s="69"/>
      <c r="G14" s="73">
        <v>16.9</v>
      </c>
      <c r="H14" s="71">
        <f>G14+M14</f>
        <v>40.8</v>
      </c>
      <c r="I14" s="72">
        <f t="shared" si="1"/>
        <v>0.35789473684210527</v>
      </c>
      <c r="J14" s="72">
        <f>IF(F14&gt;0,H14/F14,0)</f>
        <v>0</v>
      </c>
      <c r="K14" s="73">
        <v>32.8</v>
      </c>
      <c r="L14" s="72">
        <f t="shared" si="4"/>
        <v>1.2439024390243902</v>
      </c>
      <c r="M14" s="73">
        <v>23.9</v>
      </c>
      <c r="N14" s="73">
        <v>11.2</v>
      </c>
      <c r="O14" s="72">
        <f t="shared" si="2"/>
        <v>2.1339285714285716</v>
      </c>
      <c r="P14" s="73"/>
      <c r="Q14" s="73"/>
      <c r="R14" s="73"/>
    </row>
    <row r="15" spans="1:18" ht="18.75" customHeight="1">
      <c r="A15" s="12" t="s">
        <v>58</v>
      </c>
      <c r="B15" s="12">
        <v>1030226001</v>
      </c>
      <c r="C15" s="73">
        <v>2.8</v>
      </c>
      <c r="D15" s="73"/>
      <c r="E15" s="69">
        <f>C15+D15</f>
        <v>2.8</v>
      </c>
      <c r="F15" s="69"/>
      <c r="G15" s="73">
        <v>-1.1</v>
      </c>
      <c r="H15" s="71">
        <f>G15+M15</f>
        <v>-1.3</v>
      </c>
      <c r="I15" s="72">
        <f t="shared" si="1"/>
        <v>-0.46428571428571436</v>
      </c>
      <c r="J15" s="72">
        <f>IF(F15&gt;0,H15/F15,0)</f>
        <v>0</v>
      </c>
      <c r="K15" s="73"/>
      <c r="L15" s="72">
        <f t="shared" si="4"/>
        <v>0</v>
      </c>
      <c r="M15" s="73">
        <v>-0.2</v>
      </c>
      <c r="N15" s="73"/>
      <c r="O15" s="72">
        <f t="shared" si="2"/>
        <v>0</v>
      </c>
      <c r="P15" s="73"/>
      <c r="Q15" s="73"/>
      <c r="R15" s="73"/>
    </row>
    <row r="16" spans="1:18" ht="18">
      <c r="A16" s="9" t="s">
        <v>76</v>
      </c>
      <c r="B16" s="30">
        <v>1050000000</v>
      </c>
      <c r="C16" s="74">
        <f aca="true" t="shared" si="7" ref="C16:H16">C17</f>
        <v>1.1</v>
      </c>
      <c r="D16" s="75">
        <f t="shared" si="7"/>
        <v>0</v>
      </c>
      <c r="E16" s="75">
        <f t="shared" si="7"/>
        <v>1.1</v>
      </c>
      <c r="F16" s="75">
        <f t="shared" si="7"/>
        <v>0</v>
      </c>
      <c r="G16" s="74">
        <f>G17</f>
        <v>0</v>
      </c>
      <c r="H16" s="75">
        <f t="shared" si="7"/>
        <v>0</v>
      </c>
      <c r="I16" s="68">
        <f t="shared" si="1"/>
        <v>0</v>
      </c>
      <c r="J16" s="68">
        <f t="shared" si="5"/>
        <v>0</v>
      </c>
      <c r="K16" s="74">
        <f>K17</f>
        <v>0</v>
      </c>
      <c r="L16" s="68">
        <f t="shared" si="4"/>
        <v>0</v>
      </c>
      <c r="M16" s="74">
        <f>M17</f>
        <v>0</v>
      </c>
      <c r="N16" s="74">
        <f>N17</f>
        <v>0</v>
      </c>
      <c r="O16" s="68">
        <f t="shared" si="2"/>
        <v>0</v>
      </c>
      <c r="P16" s="74">
        <f>P17</f>
        <v>0</v>
      </c>
      <c r="Q16" s="74">
        <f>Q17</f>
        <v>0</v>
      </c>
      <c r="R16" s="74">
        <f>R17</f>
        <v>0</v>
      </c>
    </row>
    <row r="17" spans="1:18" ht="18">
      <c r="A17" s="13" t="s">
        <v>7</v>
      </c>
      <c r="B17" s="13">
        <v>1050300001</v>
      </c>
      <c r="C17" s="73">
        <v>1.1</v>
      </c>
      <c r="D17" s="70"/>
      <c r="E17" s="69">
        <f>C17+D17</f>
        <v>1.1</v>
      </c>
      <c r="F17" s="69">
        <f>1-1</f>
        <v>0</v>
      </c>
      <c r="G17" s="73"/>
      <c r="H17" s="71">
        <f>G17+M17</f>
        <v>0</v>
      </c>
      <c r="I17" s="72">
        <f t="shared" si="1"/>
        <v>0</v>
      </c>
      <c r="J17" s="72">
        <f t="shared" si="5"/>
        <v>0</v>
      </c>
      <c r="K17" s="73"/>
      <c r="L17" s="72">
        <f t="shared" si="4"/>
        <v>0</v>
      </c>
      <c r="M17" s="73"/>
      <c r="N17" s="73"/>
      <c r="O17" s="72">
        <f t="shared" si="2"/>
        <v>0</v>
      </c>
      <c r="P17" s="73"/>
      <c r="Q17" s="73"/>
      <c r="R17" s="73"/>
    </row>
    <row r="18" spans="1:18" ht="18">
      <c r="A18" s="9" t="s">
        <v>77</v>
      </c>
      <c r="B18" s="30">
        <v>1060000000</v>
      </c>
      <c r="C18" s="74">
        <f aca="true" t="shared" si="8" ref="C18:H18">C19+C22</f>
        <v>108.6</v>
      </c>
      <c r="D18" s="133">
        <f t="shared" si="8"/>
        <v>64.41</v>
      </c>
      <c r="E18" s="75">
        <f t="shared" si="8"/>
        <v>173.01000000000002</v>
      </c>
      <c r="F18" s="75">
        <f t="shared" si="8"/>
        <v>0</v>
      </c>
      <c r="G18" s="74">
        <f>G19+G22</f>
        <v>18.7</v>
      </c>
      <c r="H18" s="75">
        <f t="shared" si="8"/>
        <v>36.199999999999996</v>
      </c>
      <c r="I18" s="68">
        <f t="shared" si="1"/>
        <v>0.20923646032021265</v>
      </c>
      <c r="J18" s="68">
        <f t="shared" si="5"/>
        <v>0</v>
      </c>
      <c r="K18" s="74">
        <f>K19+K22</f>
        <v>7.499999999999999</v>
      </c>
      <c r="L18" s="68">
        <f t="shared" si="4"/>
        <v>4.826666666666667</v>
      </c>
      <c r="M18" s="74">
        <f>M19+M22</f>
        <v>17.5</v>
      </c>
      <c r="N18" s="74">
        <f>N19+N22</f>
        <v>1.3</v>
      </c>
      <c r="O18" s="68">
        <f t="shared" si="2"/>
        <v>13.461538461538462</v>
      </c>
      <c r="P18" s="74">
        <f>P19+P22</f>
        <v>27.1</v>
      </c>
      <c r="Q18" s="74">
        <f>Q19+Q22</f>
        <v>25.400000000000002</v>
      </c>
      <c r="R18" s="74">
        <f>R19+R22</f>
        <v>23.900000000000002</v>
      </c>
    </row>
    <row r="19" spans="1:18" ht="18">
      <c r="A19" s="13" t="s">
        <v>13</v>
      </c>
      <c r="B19" s="13">
        <v>1060600000</v>
      </c>
      <c r="C19" s="76">
        <f aca="true" t="shared" si="9" ref="C19:H19">C20+C21</f>
        <v>84.5</v>
      </c>
      <c r="D19" s="76">
        <f t="shared" si="9"/>
        <v>64.41</v>
      </c>
      <c r="E19" s="70">
        <f t="shared" si="9"/>
        <v>148.91000000000003</v>
      </c>
      <c r="F19" s="70">
        <f t="shared" si="9"/>
        <v>0</v>
      </c>
      <c r="G19" s="76">
        <f>G20+G21</f>
        <v>16.8</v>
      </c>
      <c r="H19" s="70">
        <f t="shared" si="9"/>
        <v>34.099999999999994</v>
      </c>
      <c r="I19" s="72">
        <f t="shared" si="1"/>
        <v>0.22899738096837008</v>
      </c>
      <c r="J19" s="72">
        <f t="shared" si="5"/>
        <v>0</v>
      </c>
      <c r="K19" s="76">
        <f>K20+K21</f>
        <v>6.8999999999999995</v>
      </c>
      <c r="L19" s="72">
        <f t="shared" si="4"/>
        <v>4.942028985507246</v>
      </c>
      <c r="M19" s="76">
        <f>M20+M21</f>
        <v>17.3</v>
      </c>
      <c r="N19" s="76">
        <f>N20+N21</f>
        <v>1</v>
      </c>
      <c r="O19" s="72">
        <f t="shared" si="2"/>
        <v>17.3</v>
      </c>
      <c r="P19" s="73">
        <f>P20+P21</f>
        <v>22</v>
      </c>
      <c r="Q19" s="73">
        <f>Q20+Q21</f>
        <v>22.1</v>
      </c>
      <c r="R19" s="73">
        <f>R20+R21</f>
        <v>20.8</v>
      </c>
    </row>
    <row r="20" spans="1:18" ht="18">
      <c r="A20" s="13" t="s">
        <v>14</v>
      </c>
      <c r="B20" s="13">
        <v>1060603310</v>
      </c>
      <c r="C20" s="73">
        <v>83.7</v>
      </c>
      <c r="D20" s="86">
        <f>64.41</f>
        <v>64.41</v>
      </c>
      <c r="E20" s="69">
        <f>C20+D20</f>
        <v>148.11</v>
      </c>
      <c r="F20" s="69"/>
      <c r="G20" s="73">
        <v>17.6</v>
      </c>
      <c r="H20" s="71">
        <f>G20+M20</f>
        <v>34.8</v>
      </c>
      <c r="I20" s="72">
        <f t="shared" si="1"/>
        <v>0.23496050232934976</v>
      </c>
      <c r="J20" s="72">
        <f t="shared" si="5"/>
        <v>0</v>
      </c>
      <c r="K20" s="73">
        <v>6.8</v>
      </c>
      <c r="L20" s="72">
        <f t="shared" si="4"/>
        <v>5.117647058823529</v>
      </c>
      <c r="M20" s="73">
        <v>17.2</v>
      </c>
      <c r="N20" s="73">
        <v>1</v>
      </c>
      <c r="O20" s="72">
        <f t="shared" si="2"/>
        <v>17.2</v>
      </c>
      <c r="P20" s="73">
        <v>21.8</v>
      </c>
      <c r="Q20" s="73">
        <v>1.3</v>
      </c>
      <c r="R20" s="73"/>
    </row>
    <row r="21" spans="1:18" ht="18">
      <c r="A21" s="13" t="s">
        <v>14</v>
      </c>
      <c r="B21" s="13">
        <v>1060604310</v>
      </c>
      <c r="C21" s="73">
        <v>0.8</v>
      </c>
      <c r="D21" s="70"/>
      <c r="E21" s="69">
        <f>C21+D21</f>
        <v>0.8</v>
      </c>
      <c r="F21" s="69"/>
      <c r="G21" s="73">
        <v>-0.8</v>
      </c>
      <c r="H21" s="71">
        <f>G21+M21</f>
        <v>-0.7000000000000001</v>
      </c>
      <c r="I21" s="72">
        <f t="shared" si="1"/>
        <v>-0.875</v>
      </c>
      <c r="J21" s="72">
        <f t="shared" si="5"/>
        <v>0</v>
      </c>
      <c r="K21" s="73">
        <v>0.1</v>
      </c>
      <c r="L21" s="72">
        <f t="shared" si="4"/>
        <v>-7</v>
      </c>
      <c r="M21" s="73">
        <v>0.1</v>
      </c>
      <c r="N21" s="73"/>
      <c r="O21" s="72">
        <f t="shared" si="2"/>
        <v>0</v>
      </c>
      <c r="P21" s="73">
        <v>0.2</v>
      </c>
      <c r="Q21" s="73">
        <v>20.8</v>
      </c>
      <c r="R21" s="73">
        <v>20.8</v>
      </c>
    </row>
    <row r="22" spans="1:18" ht="18">
      <c r="A22" s="13" t="s">
        <v>12</v>
      </c>
      <c r="B22" s="13">
        <v>1060103010</v>
      </c>
      <c r="C22" s="73">
        <v>24.1</v>
      </c>
      <c r="D22" s="70"/>
      <c r="E22" s="69">
        <f>C22+D22</f>
        <v>24.1</v>
      </c>
      <c r="F22" s="69"/>
      <c r="G22" s="73">
        <v>1.9</v>
      </c>
      <c r="H22" s="71">
        <f>G22+M22</f>
        <v>2.1</v>
      </c>
      <c r="I22" s="72">
        <f t="shared" si="1"/>
        <v>0.08713692946058091</v>
      </c>
      <c r="J22" s="72">
        <f t="shared" si="5"/>
        <v>0</v>
      </c>
      <c r="K22" s="73">
        <v>0.6</v>
      </c>
      <c r="L22" s="72">
        <f t="shared" si="4"/>
        <v>3.5000000000000004</v>
      </c>
      <c r="M22" s="73">
        <v>0.2</v>
      </c>
      <c r="N22" s="73">
        <v>0.3</v>
      </c>
      <c r="O22" s="72">
        <f t="shared" si="2"/>
        <v>0.6666666666666667</v>
      </c>
      <c r="P22" s="73">
        <v>5.1</v>
      </c>
      <c r="Q22" s="73">
        <v>3.3</v>
      </c>
      <c r="R22" s="73">
        <v>3.1</v>
      </c>
    </row>
    <row r="23" spans="1:18" ht="18">
      <c r="A23" s="30" t="s">
        <v>78</v>
      </c>
      <c r="B23" s="30">
        <v>1080402001</v>
      </c>
      <c r="C23" s="74">
        <v>3</v>
      </c>
      <c r="D23" s="75"/>
      <c r="E23" s="67">
        <f>C23+D23</f>
        <v>3</v>
      </c>
      <c r="F23" s="67"/>
      <c r="G23" s="74"/>
      <c r="H23" s="77">
        <f>G23+M23</f>
        <v>0.2</v>
      </c>
      <c r="I23" s="68">
        <f t="shared" si="1"/>
        <v>0.06666666666666667</v>
      </c>
      <c r="J23" s="68">
        <f t="shared" si="5"/>
        <v>0</v>
      </c>
      <c r="K23" s="74">
        <v>0.5</v>
      </c>
      <c r="L23" s="68">
        <f t="shared" si="4"/>
        <v>0.4</v>
      </c>
      <c r="M23" s="74">
        <v>0.2</v>
      </c>
      <c r="N23" s="74">
        <v>0.4</v>
      </c>
      <c r="O23" s="68">
        <f t="shared" si="2"/>
        <v>0.5</v>
      </c>
      <c r="P23" s="74"/>
      <c r="Q23" s="74"/>
      <c r="R23" s="74"/>
    </row>
    <row r="24" spans="1:18" ht="18">
      <c r="A24" s="30" t="s">
        <v>79</v>
      </c>
      <c r="B24" s="30">
        <v>1090405010</v>
      </c>
      <c r="C24" s="74"/>
      <c r="D24" s="74"/>
      <c r="E24" s="67">
        <f>C24+D24</f>
        <v>0</v>
      </c>
      <c r="F24" s="67"/>
      <c r="G24" s="74"/>
      <c r="H24" s="77">
        <f>G24+M24</f>
        <v>0</v>
      </c>
      <c r="I24" s="68">
        <f t="shared" si="1"/>
        <v>0</v>
      </c>
      <c r="J24" s="68">
        <f t="shared" si="5"/>
        <v>0</v>
      </c>
      <c r="K24" s="74"/>
      <c r="L24" s="68">
        <f t="shared" si="4"/>
        <v>0</v>
      </c>
      <c r="M24" s="74"/>
      <c r="N24" s="74"/>
      <c r="O24" s="68">
        <f t="shared" si="2"/>
        <v>0</v>
      </c>
      <c r="P24" s="74"/>
      <c r="Q24" s="74"/>
      <c r="R24" s="74"/>
    </row>
    <row r="25" spans="1:18" ht="18">
      <c r="A25" s="14" t="s">
        <v>24</v>
      </c>
      <c r="B25" s="32"/>
      <c r="C25" s="91">
        <f aca="true" t="shared" si="10" ref="C25:H25">C26+C29+C33+C30+C32+C31</f>
        <v>332</v>
      </c>
      <c r="D25" s="91">
        <f t="shared" si="10"/>
        <v>50</v>
      </c>
      <c r="E25" s="91">
        <f t="shared" si="10"/>
        <v>382</v>
      </c>
      <c r="F25" s="91">
        <f t="shared" si="10"/>
        <v>0</v>
      </c>
      <c r="G25" s="91">
        <f>G26+G29+G33+G30+G32+G31</f>
        <v>0</v>
      </c>
      <c r="H25" s="91">
        <f t="shared" si="10"/>
        <v>58.900000000000006</v>
      </c>
      <c r="I25" s="66">
        <f t="shared" si="1"/>
        <v>0.15418848167539267</v>
      </c>
      <c r="J25" s="66">
        <f t="shared" si="5"/>
        <v>0</v>
      </c>
      <c r="K25" s="91">
        <f>K26+K29+K33+K30+K32+K31</f>
        <v>3.5</v>
      </c>
      <c r="L25" s="66">
        <f t="shared" si="4"/>
        <v>16.82857142857143</v>
      </c>
      <c r="M25" s="91">
        <f>M26+M29+M33+M30+M32+M31</f>
        <v>58.900000000000006</v>
      </c>
      <c r="N25" s="91">
        <f>N26+N29+N33+N30+N32+N31</f>
        <v>0</v>
      </c>
      <c r="O25" s="66">
        <f t="shared" si="2"/>
        <v>0</v>
      </c>
      <c r="P25" s="78">
        <f>P26+P29+P32</f>
        <v>0</v>
      </c>
      <c r="Q25" s="78">
        <f>Q26+Q29+Q32</f>
        <v>0</v>
      </c>
      <c r="R25" s="78">
        <f>R26+R29+R32</f>
        <v>0</v>
      </c>
    </row>
    <row r="26" spans="1:18" ht="18">
      <c r="A26" s="9" t="s">
        <v>80</v>
      </c>
      <c r="B26" s="30">
        <v>1110000000</v>
      </c>
      <c r="C26" s="74">
        <f aca="true" t="shared" si="11" ref="C26:H26">C27+C28</f>
        <v>32</v>
      </c>
      <c r="D26" s="74">
        <f t="shared" si="11"/>
        <v>0</v>
      </c>
      <c r="E26" s="74">
        <f t="shared" si="11"/>
        <v>32</v>
      </c>
      <c r="F26" s="74">
        <f t="shared" si="11"/>
        <v>0</v>
      </c>
      <c r="G26" s="74">
        <f>G27+G28</f>
        <v>0</v>
      </c>
      <c r="H26" s="74">
        <f t="shared" si="11"/>
        <v>0</v>
      </c>
      <c r="I26" s="92">
        <f t="shared" si="1"/>
        <v>0</v>
      </c>
      <c r="J26" s="92">
        <f t="shared" si="5"/>
        <v>0</v>
      </c>
      <c r="K26" s="74">
        <f>K27+K28</f>
        <v>3.5</v>
      </c>
      <c r="L26" s="92">
        <f t="shared" si="4"/>
        <v>0</v>
      </c>
      <c r="M26" s="74">
        <f>M27+M28</f>
        <v>0</v>
      </c>
      <c r="N26" s="74">
        <f>N27+N28</f>
        <v>0</v>
      </c>
      <c r="O26" s="92">
        <f t="shared" si="2"/>
        <v>0</v>
      </c>
      <c r="P26" s="74">
        <f>P27+P28</f>
        <v>0</v>
      </c>
      <c r="Q26" s="74">
        <f>Q27+Q28</f>
        <v>0</v>
      </c>
      <c r="R26" s="74">
        <f>R27+R28</f>
        <v>0</v>
      </c>
    </row>
    <row r="27" spans="1:18" ht="18">
      <c r="A27" s="13" t="s">
        <v>28</v>
      </c>
      <c r="B27" s="13">
        <v>1110501013</v>
      </c>
      <c r="C27" s="73"/>
      <c r="D27" s="70"/>
      <c r="E27" s="73">
        <f>C27+D27</f>
        <v>0</v>
      </c>
      <c r="F27" s="73"/>
      <c r="G27" s="73"/>
      <c r="H27" s="70">
        <f aca="true" t="shared" si="12" ref="H27:H32">G27+M27</f>
        <v>0</v>
      </c>
      <c r="I27" s="81">
        <f t="shared" si="1"/>
        <v>0</v>
      </c>
      <c r="J27" s="81">
        <f t="shared" si="5"/>
        <v>0</v>
      </c>
      <c r="K27" s="73"/>
      <c r="L27" s="81">
        <f t="shared" si="4"/>
        <v>0</v>
      </c>
      <c r="M27" s="73"/>
      <c r="N27" s="73"/>
      <c r="O27" s="81">
        <f t="shared" si="2"/>
        <v>0</v>
      </c>
      <c r="P27" s="73"/>
      <c r="Q27" s="73"/>
      <c r="R27" s="73"/>
    </row>
    <row r="28" spans="1:18" ht="18">
      <c r="A28" s="33" t="s">
        <v>25</v>
      </c>
      <c r="B28" s="13">
        <v>1110904510</v>
      </c>
      <c r="C28" s="73">
        <v>32</v>
      </c>
      <c r="D28" s="70"/>
      <c r="E28" s="73">
        <f>C28+D28</f>
        <v>32</v>
      </c>
      <c r="F28" s="73"/>
      <c r="G28" s="73"/>
      <c r="H28" s="70">
        <f t="shared" si="12"/>
        <v>0</v>
      </c>
      <c r="I28" s="81">
        <f t="shared" si="1"/>
        <v>0</v>
      </c>
      <c r="J28" s="81">
        <f t="shared" si="5"/>
        <v>0</v>
      </c>
      <c r="K28" s="73">
        <v>3.5</v>
      </c>
      <c r="L28" s="81">
        <f t="shared" si="4"/>
        <v>0</v>
      </c>
      <c r="M28" s="73"/>
      <c r="N28" s="73"/>
      <c r="O28" s="81">
        <f t="shared" si="2"/>
        <v>0</v>
      </c>
      <c r="P28" s="73"/>
      <c r="Q28" s="73"/>
      <c r="R28" s="73"/>
    </row>
    <row r="29" spans="1:18" ht="18">
      <c r="A29" s="9" t="s">
        <v>42</v>
      </c>
      <c r="B29" s="30">
        <v>1130299510</v>
      </c>
      <c r="C29" s="74">
        <v>300</v>
      </c>
      <c r="D29" s="74">
        <f>50</f>
        <v>50</v>
      </c>
      <c r="E29" s="74">
        <f>C29+D29</f>
        <v>350</v>
      </c>
      <c r="F29" s="74"/>
      <c r="G29" s="74"/>
      <c r="H29" s="75">
        <f t="shared" si="12"/>
        <v>58.7</v>
      </c>
      <c r="I29" s="92">
        <f t="shared" si="1"/>
        <v>0.16771428571428573</v>
      </c>
      <c r="J29" s="92">
        <f t="shared" si="5"/>
        <v>0</v>
      </c>
      <c r="K29" s="74"/>
      <c r="L29" s="92">
        <f t="shared" si="4"/>
        <v>0</v>
      </c>
      <c r="M29" s="74">
        <v>58.7</v>
      </c>
      <c r="N29" s="74"/>
      <c r="O29" s="92">
        <f t="shared" si="2"/>
        <v>0</v>
      </c>
      <c r="P29" s="74"/>
      <c r="Q29" s="74"/>
      <c r="R29" s="74"/>
    </row>
    <row r="30" spans="1:18" ht="18">
      <c r="A30" s="9" t="s">
        <v>81</v>
      </c>
      <c r="B30" s="30">
        <v>1140205310</v>
      </c>
      <c r="C30" s="74"/>
      <c r="D30" s="74"/>
      <c r="E30" s="74">
        <f>C30+D30</f>
        <v>0</v>
      </c>
      <c r="F30" s="74"/>
      <c r="G30" s="74"/>
      <c r="H30" s="75">
        <f t="shared" si="12"/>
        <v>0</v>
      </c>
      <c r="I30" s="92">
        <f>IF(E30&gt;0,H30/E30,0)</f>
        <v>0</v>
      </c>
      <c r="J30" s="92">
        <f>IF(F30&gt;0,H30/F30,0)</f>
        <v>0</v>
      </c>
      <c r="K30" s="74"/>
      <c r="L30" s="92">
        <f t="shared" si="4"/>
        <v>0</v>
      </c>
      <c r="M30" s="74"/>
      <c r="N30" s="74"/>
      <c r="O30" s="92">
        <f t="shared" si="2"/>
        <v>0</v>
      </c>
      <c r="P30" s="74"/>
      <c r="Q30" s="74"/>
      <c r="R30" s="74"/>
    </row>
    <row r="31" spans="1:18" ht="18">
      <c r="A31" s="9" t="s">
        <v>82</v>
      </c>
      <c r="B31" s="30">
        <v>1140601410</v>
      </c>
      <c r="C31" s="74"/>
      <c r="D31" s="74"/>
      <c r="E31" s="74"/>
      <c r="F31" s="74"/>
      <c r="G31" s="74"/>
      <c r="H31" s="75">
        <f t="shared" si="12"/>
        <v>0</v>
      </c>
      <c r="I31" s="92">
        <f>IF(E31&gt;0,H31/E31,0)</f>
        <v>0</v>
      </c>
      <c r="J31" s="92">
        <f>IF(F31&gt;0,H31/F31,0)</f>
        <v>0</v>
      </c>
      <c r="K31" s="74"/>
      <c r="L31" s="92">
        <f t="shared" si="4"/>
        <v>0</v>
      </c>
      <c r="M31" s="74"/>
      <c r="N31" s="74"/>
      <c r="O31" s="92">
        <f t="shared" si="2"/>
        <v>0</v>
      </c>
      <c r="P31" s="74"/>
      <c r="Q31" s="74"/>
      <c r="R31" s="74"/>
    </row>
    <row r="32" spans="1:18" ht="18">
      <c r="A32" s="9" t="s">
        <v>83</v>
      </c>
      <c r="B32" s="30">
        <v>1169005010</v>
      </c>
      <c r="C32" s="74"/>
      <c r="D32" s="74"/>
      <c r="E32" s="75">
        <f>C32+D32</f>
        <v>0</v>
      </c>
      <c r="F32" s="75"/>
      <c r="G32" s="74"/>
      <c r="H32" s="75">
        <f t="shared" si="12"/>
        <v>0</v>
      </c>
      <c r="I32" s="92">
        <f>IF(E32&gt;0,H32/E32,0)</f>
        <v>0</v>
      </c>
      <c r="J32" s="92">
        <f>IF(F32&gt;0,H32/F32,0)</f>
        <v>0</v>
      </c>
      <c r="K32" s="74"/>
      <c r="L32" s="92">
        <f t="shared" si="4"/>
        <v>0</v>
      </c>
      <c r="M32" s="74"/>
      <c r="N32" s="74"/>
      <c r="O32" s="92">
        <f t="shared" si="2"/>
        <v>0</v>
      </c>
      <c r="P32" s="74"/>
      <c r="Q32" s="74"/>
      <c r="R32" s="74"/>
    </row>
    <row r="33" spans="1:18" ht="18">
      <c r="A33" s="9" t="s">
        <v>75</v>
      </c>
      <c r="B33" s="30">
        <v>1170000000</v>
      </c>
      <c r="C33" s="74">
        <f>SUM(C34:C35)</f>
        <v>0</v>
      </c>
      <c r="D33" s="74">
        <f aca="true" t="shared" si="13" ref="D33:R33">SUM(D34:D35)</f>
        <v>0</v>
      </c>
      <c r="E33" s="74">
        <f t="shared" si="13"/>
        <v>0</v>
      </c>
      <c r="F33" s="74">
        <f t="shared" si="13"/>
        <v>0</v>
      </c>
      <c r="G33" s="74">
        <f>SUM(G34:G35)</f>
        <v>0</v>
      </c>
      <c r="H33" s="74">
        <f t="shared" si="13"/>
        <v>0.2</v>
      </c>
      <c r="I33" s="92">
        <f>IF(E33&gt;0,H33/E33,0)</f>
        <v>0</v>
      </c>
      <c r="J33" s="92">
        <f>IF(F33&gt;0,H33/F33,0)</f>
        <v>0</v>
      </c>
      <c r="K33" s="74">
        <f>SUM(K34:K35)</f>
        <v>0</v>
      </c>
      <c r="L33" s="92">
        <f t="shared" si="4"/>
        <v>0</v>
      </c>
      <c r="M33" s="74">
        <f t="shared" si="13"/>
        <v>0.2</v>
      </c>
      <c r="N33" s="74">
        <f>SUM(N34:N35)</f>
        <v>0</v>
      </c>
      <c r="O33" s="74">
        <f t="shared" si="13"/>
        <v>0</v>
      </c>
      <c r="P33" s="74">
        <f t="shared" si="13"/>
        <v>0</v>
      </c>
      <c r="Q33" s="74">
        <f>SUM(Q34:Q35)</f>
        <v>0</v>
      </c>
      <c r="R33" s="74">
        <f t="shared" si="13"/>
        <v>0</v>
      </c>
    </row>
    <row r="34" spans="1:18" ht="18">
      <c r="A34" s="13" t="s">
        <v>8</v>
      </c>
      <c r="B34" s="13">
        <v>1170103003</v>
      </c>
      <c r="C34" s="73"/>
      <c r="D34" s="73"/>
      <c r="E34" s="73">
        <f>C34+D34</f>
        <v>0</v>
      </c>
      <c r="F34" s="73"/>
      <c r="G34" s="73"/>
      <c r="H34" s="70">
        <f>G34+M34</f>
        <v>0</v>
      </c>
      <c r="I34" s="81">
        <f t="shared" si="1"/>
        <v>0</v>
      </c>
      <c r="J34" s="81">
        <f t="shared" si="5"/>
        <v>0</v>
      </c>
      <c r="K34" s="73"/>
      <c r="L34" s="81">
        <f t="shared" si="4"/>
        <v>0</v>
      </c>
      <c r="M34" s="73"/>
      <c r="N34" s="73"/>
      <c r="O34" s="81">
        <f aca="true" t="shared" si="14" ref="O34:O40">IF(N34&gt;0,M34/N34,0)</f>
        <v>0</v>
      </c>
      <c r="P34" s="81"/>
      <c r="Q34" s="81"/>
      <c r="R34" s="81"/>
    </row>
    <row r="35" spans="1:18" ht="18">
      <c r="A35" s="13" t="s">
        <v>37</v>
      </c>
      <c r="B35" s="13">
        <v>1170505010</v>
      </c>
      <c r="C35" s="73"/>
      <c r="D35" s="70"/>
      <c r="E35" s="73">
        <f>C35+D35</f>
        <v>0</v>
      </c>
      <c r="F35" s="73"/>
      <c r="G35" s="73"/>
      <c r="H35" s="70">
        <f>G35+M35</f>
        <v>0.2</v>
      </c>
      <c r="I35" s="81">
        <f>IF(E35&gt;0,H35/E35,0)</f>
        <v>0</v>
      </c>
      <c r="J35" s="81">
        <f>IF(F35&gt;0,H35/F35,0)</f>
        <v>0</v>
      </c>
      <c r="K35" s="73"/>
      <c r="L35" s="81">
        <f>IF(K35&gt;0,H35/K35,0)</f>
        <v>0</v>
      </c>
      <c r="M35" s="73">
        <v>0.2</v>
      </c>
      <c r="N35" s="73"/>
      <c r="O35" s="81">
        <f t="shared" si="14"/>
        <v>0</v>
      </c>
      <c r="P35" s="73"/>
      <c r="Q35" s="73"/>
      <c r="R35" s="73"/>
    </row>
    <row r="36" spans="1:18" ht="18">
      <c r="A36" s="9" t="s">
        <v>6</v>
      </c>
      <c r="B36" s="9">
        <v>1000000000</v>
      </c>
      <c r="C36" s="83">
        <f aca="true" t="shared" si="15" ref="C36:H36">C5+C25</f>
        <v>883.2</v>
      </c>
      <c r="D36" s="93">
        <f t="shared" si="15"/>
        <v>114.41</v>
      </c>
      <c r="E36" s="93">
        <f t="shared" si="15"/>
        <v>997.61</v>
      </c>
      <c r="F36" s="83">
        <f t="shared" si="15"/>
        <v>0</v>
      </c>
      <c r="G36" s="83">
        <f>G5+G25</f>
        <v>67.8</v>
      </c>
      <c r="H36" s="83">
        <f t="shared" si="15"/>
        <v>205.8</v>
      </c>
      <c r="I36" s="84">
        <f t="shared" si="1"/>
        <v>0.2062930403664759</v>
      </c>
      <c r="J36" s="84">
        <f t="shared" si="5"/>
        <v>0</v>
      </c>
      <c r="K36" s="83">
        <f>K5+K25</f>
        <v>107.8</v>
      </c>
      <c r="L36" s="84">
        <f t="shared" si="4"/>
        <v>1.9090909090909092</v>
      </c>
      <c r="M36" s="83">
        <f>M5+M25</f>
        <v>138</v>
      </c>
      <c r="N36" s="83">
        <f>N5+N25</f>
        <v>29.700000000000003</v>
      </c>
      <c r="O36" s="84">
        <f t="shared" si="14"/>
        <v>4.646464646464646</v>
      </c>
      <c r="P36" s="83">
        <f>P5+P25</f>
        <v>27.1</v>
      </c>
      <c r="Q36" s="83">
        <f>Q5+Q25</f>
        <v>25.400000000000002</v>
      </c>
      <c r="R36" s="83">
        <f>R5+R25</f>
        <v>23.900000000000002</v>
      </c>
    </row>
    <row r="37" spans="1:18" ht="18">
      <c r="A37" s="9" t="s">
        <v>98</v>
      </c>
      <c r="B37" s="9"/>
      <c r="C37" s="83">
        <f aca="true" t="shared" si="16" ref="C37:H37">C36-C11</f>
        <v>713.8000000000001</v>
      </c>
      <c r="D37" s="93">
        <f t="shared" si="16"/>
        <v>114.41</v>
      </c>
      <c r="E37" s="93">
        <f t="shared" si="16"/>
        <v>828.21</v>
      </c>
      <c r="F37" s="83">
        <f t="shared" si="16"/>
        <v>0</v>
      </c>
      <c r="G37" s="83">
        <f>G36-G11</f>
        <v>42.1</v>
      </c>
      <c r="H37" s="83">
        <f t="shared" si="16"/>
        <v>145.4</v>
      </c>
      <c r="I37" s="84">
        <f>IF(E37&gt;0,H37/E37,0)</f>
        <v>0.17555933881503483</v>
      </c>
      <c r="J37" s="84">
        <f>IF(F37&gt;0,H37/F37,0)</f>
        <v>0</v>
      </c>
      <c r="K37" s="83">
        <f>K36-K11</f>
        <v>53</v>
      </c>
      <c r="L37" s="84">
        <f t="shared" si="4"/>
        <v>2.7433962264150944</v>
      </c>
      <c r="M37" s="83">
        <f>M36-M11</f>
        <v>103.30000000000001</v>
      </c>
      <c r="N37" s="83">
        <f>N36-N11</f>
        <v>10.500000000000004</v>
      </c>
      <c r="O37" s="84">
        <f t="shared" si="14"/>
        <v>9.838095238095235</v>
      </c>
      <c r="P37" s="83"/>
      <c r="Q37" s="83"/>
      <c r="R37" s="83"/>
    </row>
    <row r="38" spans="1:18" ht="18">
      <c r="A38" s="13" t="s">
        <v>40</v>
      </c>
      <c r="B38" s="13">
        <v>2000000000</v>
      </c>
      <c r="C38" s="73">
        <v>862.35</v>
      </c>
      <c r="D38" s="86">
        <f>-0.05</f>
        <v>-0.05</v>
      </c>
      <c r="E38" s="71">
        <f>C38+D38</f>
        <v>862.3000000000001</v>
      </c>
      <c r="F38" s="69"/>
      <c r="G38" s="73">
        <v>79.8</v>
      </c>
      <c r="H38" s="70">
        <f>G38+M38</f>
        <v>116.3</v>
      </c>
      <c r="I38" s="72">
        <f t="shared" si="1"/>
        <v>0.13487185434303606</v>
      </c>
      <c r="J38" s="72">
        <f t="shared" si="5"/>
        <v>0</v>
      </c>
      <c r="K38" s="94">
        <v>174</v>
      </c>
      <c r="L38" s="72">
        <f t="shared" si="4"/>
        <v>0.6683908045977012</v>
      </c>
      <c r="M38" s="73">
        <v>36.5</v>
      </c>
      <c r="N38" s="73">
        <v>55.8</v>
      </c>
      <c r="O38" s="72">
        <f t="shared" si="14"/>
        <v>0.6541218637992832</v>
      </c>
      <c r="P38" s="73"/>
      <c r="Q38" s="73"/>
      <c r="R38" s="73"/>
    </row>
    <row r="39" spans="1:18" ht="18">
      <c r="A39" s="13" t="s">
        <v>51</v>
      </c>
      <c r="B39" s="34" t="s">
        <v>41</v>
      </c>
      <c r="C39" s="73">
        <v>30</v>
      </c>
      <c r="D39" s="70"/>
      <c r="E39" s="69">
        <f>C39+D39</f>
        <v>30</v>
      </c>
      <c r="F39" s="69"/>
      <c r="G39" s="73"/>
      <c r="H39" s="70">
        <f>G39+M39</f>
        <v>0</v>
      </c>
      <c r="I39" s="72">
        <f>IF(E39&gt;0,H39/E39,0)</f>
        <v>0</v>
      </c>
      <c r="J39" s="72">
        <f>IF(F39&gt;0,H39/F39,0)</f>
        <v>0</v>
      </c>
      <c r="K39" s="73">
        <v>5.7</v>
      </c>
      <c r="L39" s="72">
        <f t="shared" si="4"/>
        <v>0</v>
      </c>
      <c r="M39" s="73"/>
      <c r="N39" s="73">
        <v>3.4</v>
      </c>
      <c r="O39" s="72">
        <f t="shared" si="14"/>
        <v>0</v>
      </c>
      <c r="P39" s="73"/>
      <c r="Q39" s="73"/>
      <c r="R39" s="73"/>
    </row>
    <row r="40" spans="1:18" ht="18">
      <c r="A40" s="9" t="s">
        <v>2</v>
      </c>
      <c r="B40" s="9">
        <v>0</v>
      </c>
      <c r="C40" s="93">
        <f aca="true" t="shared" si="17" ref="C40:H40">C36+C38+C39</f>
        <v>1775.5500000000002</v>
      </c>
      <c r="D40" s="83">
        <f t="shared" si="17"/>
        <v>114.36</v>
      </c>
      <c r="E40" s="93">
        <f t="shared" si="17"/>
        <v>1889.91</v>
      </c>
      <c r="F40" s="83">
        <f t="shared" si="17"/>
        <v>0</v>
      </c>
      <c r="G40" s="83">
        <f t="shared" si="17"/>
        <v>147.6</v>
      </c>
      <c r="H40" s="83">
        <f t="shared" si="17"/>
        <v>322.1</v>
      </c>
      <c r="I40" s="84">
        <f t="shared" si="1"/>
        <v>0.17043139620405204</v>
      </c>
      <c r="J40" s="84">
        <f t="shared" si="5"/>
        <v>0</v>
      </c>
      <c r="K40" s="83">
        <f>K36+K38+K39</f>
        <v>287.5</v>
      </c>
      <c r="L40" s="84">
        <f t="shared" si="4"/>
        <v>1.1203478260869566</v>
      </c>
      <c r="M40" s="93">
        <f>M36+M38+M39</f>
        <v>174.5</v>
      </c>
      <c r="N40" s="83">
        <f>N36+N38+N39</f>
        <v>88.9</v>
      </c>
      <c r="O40" s="84">
        <f t="shared" si="14"/>
        <v>1.9628796400449942</v>
      </c>
      <c r="P40" s="83">
        <f>P36+P38</f>
        <v>27.1</v>
      </c>
      <c r="Q40" s="83">
        <f>Q36+Q38</f>
        <v>25.400000000000002</v>
      </c>
      <c r="R40" s="83">
        <f>R36+R38</f>
        <v>23.900000000000002</v>
      </c>
    </row>
  </sheetData>
  <sheetProtection/>
  <mergeCells count="15">
    <mergeCell ref="C1:M1"/>
    <mergeCell ref="B2:R2"/>
    <mergeCell ref="G3:G4"/>
    <mergeCell ref="K3:L3"/>
    <mergeCell ref="H3:J3"/>
    <mergeCell ref="P3:R3"/>
    <mergeCell ref="N3:N4"/>
    <mergeCell ref="F3:F4"/>
    <mergeCell ref="O3:O4"/>
    <mergeCell ref="M3:M4"/>
    <mergeCell ref="A3:A4"/>
    <mergeCell ref="B3:B4"/>
    <mergeCell ref="C3:C4"/>
    <mergeCell ref="E3:E4"/>
    <mergeCell ref="D3:D4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7" sqref="R7:R22"/>
    </sheetView>
  </sheetViews>
  <sheetFormatPr defaultColWidth="9.00390625" defaultRowHeight="12.75"/>
  <cols>
    <col min="1" max="1" width="40.00390625" style="0" customWidth="1"/>
    <col min="2" max="2" width="14.625" style="0" customWidth="1"/>
    <col min="3" max="3" width="11.25390625" style="0" customWidth="1"/>
    <col min="4" max="4" width="10.125" style="0" customWidth="1"/>
    <col min="5" max="5" width="11.625" style="0" customWidth="1"/>
    <col min="6" max="6" width="10.75390625" style="0" hidden="1" customWidth="1"/>
    <col min="7" max="7" width="10.25390625" style="0" customWidth="1"/>
    <col min="8" max="8" width="11.25390625" style="0" customWidth="1"/>
    <col min="9" max="9" width="12.25390625" style="0" customWidth="1"/>
    <col min="10" max="10" width="0.12890625" style="0" customWidth="1"/>
    <col min="11" max="11" width="10.375" style="0" customWidth="1"/>
    <col min="12" max="12" width="12.375" style="0" customWidth="1"/>
    <col min="13" max="13" width="11.00390625" style="0" customWidth="1"/>
    <col min="14" max="14" width="9.625" style="0" customWidth="1"/>
    <col min="15" max="15" width="14.875" style="0" customWidth="1"/>
    <col min="16" max="16" width="10.625" style="0" customWidth="1"/>
    <col min="17" max="18" width="9.625" style="0" customWidth="1"/>
  </cols>
  <sheetData>
    <row r="1" spans="1:18" ht="15.75">
      <c r="A1" s="26"/>
      <c r="B1" s="48"/>
      <c r="C1" s="143" t="s">
        <v>11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49"/>
      <c r="O1" s="49"/>
      <c r="P1" s="26"/>
      <c r="Q1" s="26"/>
      <c r="R1" s="26"/>
    </row>
    <row r="2" spans="1:18" ht="15.75">
      <c r="A2" s="26"/>
      <c r="B2" s="148" t="s">
        <v>117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18" ht="13.5" customHeight="1">
      <c r="A3" s="136" t="s">
        <v>3</v>
      </c>
      <c r="B3" s="136" t="s">
        <v>4</v>
      </c>
      <c r="C3" s="136" t="s">
        <v>102</v>
      </c>
      <c r="D3" s="141" t="s">
        <v>26</v>
      </c>
      <c r="E3" s="141" t="s">
        <v>103</v>
      </c>
      <c r="F3" s="136" t="s">
        <v>105</v>
      </c>
      <c r="G3" s="136" t="s">
        <v>106</v>
      </c>
      <c r="H3" s="136" t="s">
        <v>104</v>
      </c>
      <c r="I3" s="136"/>
      <c r="J3" s="136"/>
      <c r="K3" s="136" t="s">
        <v>53</v>
      </c>
      <c r="L3" s="136"/>
      <c r="M3" s="136" t="s">
        <v>108</v>
      </c>
      <c r="N3" s="136" t="s">
        <v>109</v>
      </c>
      <c r="O3" s="138" t="s">
        <v>20</v>
      </c>
      <c r="P3" s="138" t="s">
        <v>9</v>
      </c>
      <c r="Q3" s="138"/>
      <c r="R3" s="138"/>
    </row>
    <row r="4" spans="1:18" ht="93.75" customHeight="1">
      <c r="A4" s="147"/>
      <c r="B4" s="147"/>
      <c r="C4" s="136"/>
      <c r="D4" s="142"/>
      <c r="E4" s="141"/>
      <c r="F4" s="136"/>
      <c r="G4" s="136"/>
      <c r="H4" s="47" t="s">
        <v>107</v>
      </c>
      <c r="I4" s="47" t="s">
        <v>10</v>
      </c>
      <c r="J4" s="47" t="s">
        <v>31</v>
      </c>
      <c r="K4" s="47" t="s">
        <v>107</v>
      </c>
      <c r="L4" s="47" t="s">
        <v>32</v>
      </c>
      <c r="M4" s="136"/>
      <c r="N4" s="136"/>
      <c r="O4" s="138"/>
      <c r="P4" s="129" t="s">
        <v>101</v>
      </c>
      <c r="Q4" s="129" t="s">
        <v>110</v>
      </c>
      <c r="R4" s="129" t="s">
        <v>113</v>
      </c>
    </row>
    <row r="5" spans="1:18" ht="19.5" customHeight="1">
      <c r="A5" s="29" t="s">
        <v>23</v>
      </c>
      <c r="B5" s="29"/>
      <c r="C5" s="95">
        <f aca="true" t="shared" si="0" ref="C5:H5">C6+C16+C18+C23+C24+C11</f>
        <v>1006.6999999999999</v>
      </c>
      <c r="D5" s="95">
        <f t="shared" si="0"/>
        <v>70.5</v>
      </c>
      <c r="E5" s="95">
        <f t="shared" si="0"/>
        <v>1077.2</v>
      </c>
      <c r="F5" s="95">
        <f t="shared" si="0"/>
        <v>0</v>
      </c>
      <c r="G5" s="95">
        <f t="shared" si="0"/>
        <v>139.7</v>
      </c>
      <c r="H5" s="95">
        <f t="shared" si="0"/>
        <v>258.9</v>
      </c>
      <c r="I5" s="96">
        <f aca="true" t="shared" si="1" ref="I5:I41">IF(E5&gt;0,H5/E5,0)</f>
        <v>0.24034533976977346</v>
      </c>
      <c r="J5" s="96">
        <f>IF(F5&gt;0,H5/F5,0)</f>
        <v>0</v>
      </c>
      <c r="K5" s="95">
        <f>K6+K16+K18+K23+K24+K11</f>
        <v>293.6</v>
      </c>
      <c r="L5" s="96">
        <f>IF(K5&gt;0,H5/K5,0)</f>
        <v>0.8818119891008173</v>
      </c>
      <c r="M5" s="95">
        <f>M6+M16+M18+M23+M24+M11</f>
        <v>119.2</v>
      </c>
      <c r="N5" s="95">
        <f>N6+N16+N18+N23+N24+N11</f>
        <v>109.6</v>
      </c>
      <c r="O5" s="96">
        <f aca="true" t="shared" si="2" ref="O5:O34">IF(N5&gt;0,M5/N5,0)</f>
        <v>1.0875912408759125</v>
      </c>
      <c r="P5" s="95">
        <f>P6+P16+P18+P23+P24+P11</f>
        <v>198.70000000000002</v>
      </c>
      <c r="Q5" s="95">
        <f>Q6+Q16+Q18+Q23+Q24+Q11</f>
        <v>200.3</v>
      </c>
      <c r="R5" s="95">
        <f>R6+R16+R18+R23+R24+R11</f>
        <v>200.9</v>
      </c>
    </row>
    <row r="6" spans="1:18" ht="18">
      <c r="A6" s="9" t="s">
        <v>69</v>
      </c>
      <c r="B6" s="30">
        <v>1010200001</v>
      </c>
      <c r="C6" s="74">
        <f aca="true" t="shared" si="3" ref="C6:H6">C7+C8+C9+C10</f>
        <v>536.6999999999999</v>
      </c>
      <c r="D6" s="74">
        <f t="shared" si="3"/>
        <v>0</v>
      </c>
      <c r="E6" s="74">
        <f t="shared" si="3"/>
        <v>536.6999999999999</v>
      </c>
      <c r="F6" s="74">
        <f t="shared" si="3"/>
        <v>0</v>
      </c>
      <c r="G6" s="74">
        <f t="shared" si="3"/>
        <v>54.4</v>
      </c>
      <c r="H6" s="74">
        <f t="shared" si="3"/>
        <v>96.19999999999999</v>
      </c>
      <c r="I6" s="92">
        <f t="shared" si="1"/>
        <v>0.1792435252468791</v>
      </c>
      <c r="J6" s="92">
        <f>IF(F6&gt;0,H6/F6,0)</f>
        <v>0</v>
      </c>
      <c r="K6" s="74">
        <f>K7+K8+K9+K10</f>
        <v>116.7</v>
      </c>
      <c r="L6" s="92">
        <f aca="true" t="shared" si="4" ref="L6:L41">IF(K6&gt;0,H6/K6,0)</f>
        <v>0.8243359040274206</v>
      </c>
      <c r="M6" s="74">
        <f>M7+M8+M9+M10</f>
        <v>41.800000000000004</v>
      </c>
      <c r="N6" s="74">
        <f>N7+N8+N9+N10</f>
        <v>53</v>
      </c>
      <c r="O6" s="92">
        <f t="shared" si="2"/>
        <v>0.7886792452830189</v>
      </c>
      <c r="P6" s="74">
        <f>P7+P8+P9+P10</f>
        <v>0</v>
      </c>
      <c r="Q6" s="74">
        <f>Q7+Q8+Q9+Q10</f>
        <v>0</v>
      </c>
      <c r="R6" s="74">
        <f>R7+R8+R9+R10</f>
        <v>1.3</v>
      </c>
    </row>
    <row r="7" spans="1:18" ht="18" customHeight="1">
      <c r="A7" s="10" t="s">
        <v>49</v>
      </c>
      <c r="B7" s="13">
        <v>1010201001</v>
      </c>
      <c r="C7" s="73">
        <v>533.9</v>
      </c>
      <c r="D7" s="70"/>
      <c r="E7" s="73">
        <f>C7+D7</f>
        <v>533.9</v>
      </c>
      <c r="F7" s="73"/>
      <c r="G7" s="70">
        <v>54.4</v>
      </c>
      <c r="H7" s="70">
        <f>G7+M7</f>
        <v>95.6</v>
      </c>
      <c r="I7" s="81">
        <f t="shared" si="1"/>
        <v>0.1790597490166698</v>
      </c>
      <c r="J7" s="81">
        <f aca="true" t="shared" si="5" ref="J7:J41">IF(F7&gt;0,H7/F7,0)</f>
        <v>0</v>
      </c>
      <c r="K7" s="70">
        <v>116.7</v>
      </c>
      <c r="L7" s="81">
        <f t="shared" si="4"/>
        <v>0.8191945158526135</v>
      </c>
      <c r="M7" s="70">
        <v>41.2</v>
      </c>
      <c r="N7" s="70">
        <v>53</v>
      </c>
      <c r="O7" s="81">
        <f t="shared" si="2"/>
        <v>0.7773584905660378</v>
      </c>
      <c r="P7" s="73"/>
      <c r="Q7" s="73"/>
      <c r="R7" s="73">
        <v>1.3</v>
      </c>
    </row>
    <row r="8" spans="1:18" ht="17.25" customHeight="1">
      <c r="A8" s="10" t="s">
        <v>48</v>
      </c>
      <c r="B8" s="13">
        <v>1010202001</v>
      </c>
      <c r="C8" s="73"/>
      <c r="D8" s="70"/>
      <c r="E8" s="73">
        <f>C8+D8</f>
        <v>0</v>
      </c>
      <c r="F8" s="73"/>
      <c r="G8" s="73"/>
      <c r="H8" s="70">
        <f>G8+M8</f>
        <v>0</v>
      </c>
      <c r="I8" s="81">
        <f t="shared" si="1"/>
        <v>0</v>
      </c>
      <c r="J8" s="81">
        <f t="shared" si="5"/>
        <v>0</v>
      </c>
      <c r="K8" s="73"/>
      <c r="L8" s="81">
        <f>IF(K8&gt;0,H8/K8,0)</f>
        <v>0</v>
      </c>
      <c r="M8" s="73"/>
      <c r="N8" s="73"/>
      <c r="O8" s="81">
        <f>IF(N8&gt;0,M8/N8,0)</f>
        <v>0</v>
      </c>
      <c r="P8" s="73"/>
      <c r="Q8" s="73"/>
      <c r="R8" s="73"/>
    </row>
    <row r="9" spans="1:18" ht="17.25" customHeight="1">
      <c r="A9" s="10" t="s">
        <v>46</v>
      </c>
      <c r="B9" s="13">
        <v>1010203001</v>
      </c>
      <c r="C9" s="73">
        <v>2.8</v>
      </c>
      <c r="D9" s="73"/>
      <c r="E9" s="73">
        <f>C9+D9</f>
        <v>2.8</v>
      </c>
      <c r="F9" s="73"/>
      <c r="G9" s="73"/>
      <c r="H9" s="70">
        <f>G9+M9</f>
        <v>0</v>
      </c>
      <c r="I9" s="81">
        <f t="shared" si="1"/>
        <v>0</v>
      </c>
      <c r="J9" s="81">
        <f t="shared" si="5"/>
        <v>0</v>
      </c>
      <c r="K9" s="73"/>
      <c r="L9" s="81">
        <f t="shared" si="4"/>
        <v>0</v>
      </c>
      <c r="M9" s="73"/>
      <c r="N9" s="73"/>
      <c r="O9" s="81">
        <f t="shared" si="2"/>
        <v>0</v>
      </c>
      <c r="P9" s="73"/>
      <c r="Q9" s="73"/>
      <c r="R9" s="73"/>
    </row>
    <row r="10" spans="1:18" ht="18" customHeight="1">
      <c r="A10" s="10" t="s">
        <v>47</v>
      </c>
      <c r="B10" s="13">
        <v>1010204001</v>
      </c>
      <c r="C10" s="73"/>
      <c r="D10" s="73"/>
      <c r="E10" s="73">
        <f>C10+D10</f>
        <v>0</v>
      </c>
      <c r="F10" s="73"/>
      <c r="G10" s="73"/>
      <c r="H10" s="70">
        <f>G10+M10</f>
        <v>0.6</v>
      </c>
      <c r="I10" s="81">
        <f t="shared" si="1"/>
        <v>0</v>
      </c>
      <c r="J10" s="81">
        <f t="shared" si="5"/>
        <v>0</v>
      </c>
      <c r="K10" s="73"/>
      <c r="L10" s="81">
        <f t="shared" si="4"/>
        <v>0</v>
      </c>
      <c r="M10" s="73">
        <v>0.6</v>
      </c>
      <c r="N10" s="73"/>
      <c r="O10" s="81">
        <f t="shared" si="2"/>
        <v>0</v>
      </c>
      <c r="P10" s="73"/>
      <c r="Q10" s="73"/>
      <c r="R10" s="73"/>
    </row>
    <row r="11" spans="1:18" ht="18" customHeight="1">
      <c r="A11" s="11" t="s">
        <v>54</v>
      </c>
      <c r="B11" s="19">
        <v>1030200001</v>
      </c>
      <c r="C11" s="74">
        <f aca="true" t="shared" si="6" ref="C11:H11">SUM(C12:C15)</f>
        <v>367.70000000000005</v>
      </c>
      <c r="D11" s="74">
        <f t="shared" si="6"/>
        <v>0</v>
      </c>
      <c r="E11" s="74">
        <f t="shared" si="6"/>
        <v>367.70000000000005</v>
      </c>
      <c r="F11" s="74"/>
      <c r="G11" s="74">
        <f>SUM(G12:G15)</f>
        <v>56.3</v>
      </c>
      <c r="H11" s="74">
        <f t="shared" si="6"/>
        <v>131.89999999999998</v>
      </c>
      <c r="I11" s="68">
        <f t="shared" si="1"/>
        <v>0.358716344846342</v>
      </c>
      <c r="J11" s="68">
        <f>IF(F11&gt;0,H11/F11,0)</f>
        <v>0</v>
      </c>
      <c r="K11" s="74">
        <f>SUM(K12:K15)</f>
        <v>119.4</v>
      </c>
      <c r="L11" s="68">
        <f t="shared" si="4"/>
        <v>1.104690117252931</v>
      </c>
      <c r="M11" s="74">
        <f>SUM(M12:M15)</f>
        <v>75.6</v>
      </c>
      <c r="N11" s="74">
        <f>SUM(N12:N15)</f>
        <v>41.6</v>
      </c>
      <c r="O11" s="68">
        <f t="shared" si="2"/>
        <v>1.817307692307692</v>
      </c>
      <c r="P11" s="74">
        <f>SUM(P12:P15)</f>
        <v>0</v>
      </c>
      <c r="Q11" s="74">
        <f>SUM(Q12:Q15)</f>
        <v>0</v>
      </c>
      <c r="R11" s="74">
        <f>SUM(R12:R15)</f>
        <v>0</v>
      </c>
    </row>
    <row r="12" spans="1:18" ht="19.5" customHeight="1">
      <c r="A12" s="12" t="s">
        <v>55</v>
      </c>
      <c r="B12" s="12">
        <v>1030223001</v>
      </c>
      <c r="C12" s="73">
        <v>110.4</v>
      </c>
      <c r="D12" s="73"/>
      <c r="E12" s="69">
        <f>C12+D12</f>
        <v>110.4</v>
      </c>
      <c r="F12" s="69"/>
      <c r="G12" s="73">
        <v>21.2</v>
      </c>
      <c r="H12" s="71">
        <f>G12+M12</f>
        <v>44.599999999999994</v>
      </c>
      <c r="I12" s="72">
        <f t="shared" si="1"/>
        <v>0.4039855072463767</v>
      </c>
      <c r="J12" s="72"/>
      <c r="K12" s="73">
        <v>47.3</v>
      </c>
      <c r="L12" s="72">
        <f t="shared" si="4"/>
        <v>0.9429175475687103</v>
      </c>
      <c r="M12" s="73">
        <v>23.4</v>
      </c>
      <c r="N12" s="73">
        <v>17.1</v>
      </c>
      <c r="O12" s="72">
        <f t="shared" si="2"/>
        <v>1.3684210526315788</v>
      </c>
      <c r="P12" s="73"/>
      <c r="Q12" s="73"/>
      <c r="R12" s="73"/>
    </row>
    <row r="13" spans="1:18" ht="17.25" customHeight="1">
      <c r="A13" s="12" t="s">
        <v>56</v>
      </c>
      <c r="B13" s="12">
        <v>1030224001</v>
      </c>
      <c r="C13" s="73">
        <v>3.8</v>
      </c>
      <c r="D13" s="73"/>
      <c r="E13" s="69">
        <f>C13+D13</f>
        <v>3.8</v>
      </c>
      <c r="F13" s="69"/>
      <c r="G13" s="73">
        <v>0.5</v>
      </c>
      <c r="H13" s="71">
        <f>G13+M13</f>
        <v>1</v>
      </c>
      <c r="I13" s="72">
        <f t="shared" si="1"/>
        <v>0.2631578947368421</v>
      </c>
      <c r="J13" s="72"/>
      <c r="K13" s="73">
        <v>0.7</v>
      </c>
      <c r="L13" s="72">
        <f t="shared" si="4"/>
        <v>1.4285714285714286</v>
      </c>
      <c r="M13" s="73">
        <v>0.5</v>
      </c>
      <c r="N13" s="73">
        <v>0.3</v>
      </c>
      <c r="O13" s="72">
        <f t="shared" si="2"/>
        <v>1.6666666666666667</v>
      </c>
      <c r="P13" s="73"/>
      <c r="Q13" s="73"/>
      <c r="R13" s="73"/>
    </row>
    <row r="14" spans="1:18" ht="18" customHeight="1">
      <c r="A14" s="12" t="s">
        <v>96</v>
      </c>
      <c r="B14" s="12">
        <v>1030225001</v>
      </c>
      <c r="C14" s="73">
        <v>247.4</v>
      </c>
      <c r="D14" s="73"/>
      <c r="E14" s="69">
        <f>C14+D14</f>
        <v>247.4</v>
      </c>
      <c r="F14" s="69"/>
      <c r="G14" s="73">
        <v>36.9</v>
      </c>
      <c r="H14" s="71">
        <f>G14+M14</f>
        <v>89.19999999999999</v>
      </c>
      <c r="I14" s="72">
        <f t="shared" si="1"/>
        <v>0.36054971705739686</v>
      </c>
      <c r="J14" s="72"/>
      <c r="K14" s="73">
        <v>71.4</v>
      </c>
      <c r="L14" s="72">
        <f t="shared" si="4"/>
        <v>1.249299719887955</v>
      </c>
      <c r="M14" s="73">
        <v>52.3</v>
      </c>
      <c r="N14" s="73">
        <v>24.2</v>
      </c>
      <c r="O14" s="72">
        <f t="shared" si="2"/>
        <v>2.1611570247933884</v>
      </c>
      <c r="P14" s="73"/>
      <c r="Q14" s="73"/>
      <c r="R14" s="73"/>
    </row>
    <row r="15" spans="1:18" ht="17.25" customHeight="1">
      <c r="A15" s="12" t="s">
        <v>58</v>
      </c>
      <c r="B15" s="12">
        <v>1030226001</v>
      </c>
      <c r="C15" s="73">
        <v>6.1</v>
      </c>
      <c r="D15" s="73"/>
      <c r="E15" s="69">
        <f>C15+D15</f>
        <v>6.1</v>
      </c>
      <c r="F15" s="69"/>
      <c r="G15" s="73">
        <v>-2.3</v>
      </c>
      <c r="H15" s="71">
        <f>G15+M15</f>
        <v>-2.9</v>
      </c>
      <c r="I15" s="72">
        <f t="shared" si="1"/>
        <v>-0.4754098360655738</v>
      </c>
      <c r="J15" s="72"/>
      <c r="K15" s="73"/>
      <c r="L15" s="72">
        <f t="shared" si="4"/>
        <v>0</v>
      </c>
      <c r="M15" s="73">
        <v>-0.6</v>
      </c>
      <c r="N15" s="73"/>
      <c r="O15" s="72">
        <f t="shared" si="2"/>
        <v>0</v>
      </c>
      <c r="P15" s="73"/>
      <c r="Q15" s="73"/>
      <c r="R15" s="73"/>
    </row>
    <row r="16" spans="1:18" ht="18">
      <c r="A16" s="9" t="s">
        <v>76</v>
      </c>
      <c r="B16" s="30">
        <v>1050000000</v>
      </c>
      <c r="C16" s="74">
        <f aca="true" t="shared" si="7" ref="C16:H16">C17</f>
        <v>0</v>
      </c>
      <c r="D16" s="75">
        <f t="shared" si="7"/>
        <v>0</v>
      </c>
      <c r="E16" s="75">
        <f t="shared" si="7"/>
        <v>0</v>
      </c>
      <c r="F16" s="75">
        <f t="shared" si="7"/>
        <v>0</v>
      </c>
      <c r="G16" s="74">
        <f>G17</f>
        <v>0</v>
      </c>
      <c r="H16" s="75">
        <f t="shared" si="7"/>
        <v>0</v>
      </c>
      <c r="I16" s="92">
        <f t="shared" si="1"/>
        <v>0</v>
      </c>
      <c r="J16" s="92">
        <f t="shared" si="5"/>
        <v>0</v>
      </c>
      <c r="K16" s="74">
        <f>K17</f>
        <v>0</v>
      </c>
      <c r="L16" s="92">
        <f t="shared" si="4"/>
        <v>0</v>
      </c>
      <c r="M16" s="74">
        <f>M17</f>
        <v>0</v>
      </c>
      <c r="N16" s="74">
        <f>N17</f>
        <v>0</v>
      </c>
      <c r="O16" s="92">
        <f t="shared" si="2"/>
        <v>0</v>
      </c>
      <c r="P16" s="74">
        <f>P17</f>
        <v>0</v>
      </c>
      <c r="Q16" s="74">
        <f>Q17</f>
        <v>0</v>
      </c>
      <c r="R16" s="74">
        <f>R17</f>
        <v>0</v>
      </c>
    </row>
    <row r="17" spans="1:18" ht="18">
      <c r="A17" s="13" t="s">
        <v>7</v>
      </c>
      <c r="B17" s="13">
        <v>1050300001</v>
      </c>
      <c r="C17" s="73"/>
      <c r="D17" s="70"/>
      <c r="E17" s="73">
        <f>C17+D17</f>
        <v>0</v>
      </c>
      <c r="F17" s="73"/>
      <c r="G17" s="73"/>
      <c r="H17" s="70">
        <f>G17+M17</f>
        <v>0</v>
      </c>
      <c r="I17" s="81">
        <f t="shared" si="1"/>
        <v>0</v>
      </c>
      <c r="J17" s="81">
        <f t="shared" si="5"/>
        <v>0</v>
      </c>
      <c r="K17" s="73"/>
      <c r="L17" s="81">
        <f t="shared" si="4"/>
        <v>0</v>
      </c>
      <c r="M17" s="73"/>
      <c r="N17" s="73"/>
      <c r="O17" s="81">
        <f t="shared" si="2"/>
        <v>0</v>
      </c>
      <c r="P17" s="73"/>
      <c r="Q17" s="73"/>
      <c r="R17" s="73"/>
    </row>
    <row r="18" spans="1:18" ht="18">
      <c r="A18" s="9" t="s">
        <v>77</v>
      </c>
      <c r="B18" s="30">
        <v>1060000000</v>
      </c>
      <c r="C18" s="74">
        <f aca="true" t="shared" si="8" ref="C18:H18">C19+C22</f>
        <v>97.3</v>
      </c>
      <c r="D18" s="75">
        <f t="shared" si="8"/>
        <v>70.5</v>
      </c>
      <c r="E18" s="75">
        <f t="shared" si="8"/>
        <v>167.8</v>
      </c>
      <c r="F18" s="75">
        <f t="shared" si="8"/>
        <v>0</v>
      </c>
      <c r="G18" s="74">
        <f>G19+G22</f>
        <v>28.8</v>
      </c>
      <c r="H18" s="75">
        <f t="shared" si="8"/>
        <v>29.399999999999995</v>
      </c>
      <c r="I18" s="92">
        <f t="shared" si="1"/>
        <v>0.1752085816448152</v>
      </c>
      <c r="J18" s="92">
        <f t="shared" si="5"/>
        <v>0</v>
      </c>
      <c r="K18" s="74">
        <f>K19+K22</f>
        <v>57.50000000000001</v>
      </c>
      <c r="L18" s="92">
        <f t="shared" si="4"/>
        <v>0.5113043478260868</v>
      </c>
      <c r="M18" s="74">
        <f>M19+M22</f>
        <v>0.6000000000000001</v>
      </c>
      <c r="N18" s="74">
        <f>N19+N22</f>
        <v>15</v>
      </c>
      <c r="O18" s="92">
        <f t="shared" si="2"/>
        <v>0.04000000000000001</v>
      </c>
      <c r="P18" s="74">
        <f>P19+P22</f>
        <v>198.70000000000002</v>
      </c>
      <c r="Q18" s="74">
        <f>Q19+Q22</f>
        <v>200.3</v>
      </c>
      <c r="R18" s="74">
        <f>R19+R22</f>
        <v>199.6</v>
      </c>
    </row>
    <row r="19" spans="1:18" ht="18">
      <c r="A19" s="13" t="s">
        <v>13</v>
      </c>
      <c r="B19" s="13">
        <v>1060600000</v>
      </c>
      <c r="C19" s="73">
        <f aca="true" t="shared" si="9" ref="C19:H19">C20+C21</f>
        <v>73</v>
      </c>
      <c r="D19" s="70">
        <f t="shared" si="9"/>
        <v>50</v>
      </c>
      <c r="E19" s="70">
        <f t="shared" si="9"/>
        <v>123</v>
      </c>
      <c r="F19" s="70">
        <f t="shared" si="9"/>
        <v>0</v>
      </c>
      <c r="G19" s="73">
        <f>G20+G21</f>
        <v>25.7</v>
      </c>
      <c r="H19" s="70">
        <f t="shared" si="9"/>
        <v>25.999999999999996</v>
      </c>
      <c r="I19" s="81">
        <f t="shared" si="1"/>
        <v>0.2113821138211382</v>
      </c>
      <c r="J19" s="81">
        <f t="shared" si="5"/>
        <v>0</v>
      </c>
      <c r="K19" s="73">
        <f>K20+K21</f>
        <v>56.300000000000004</v>
      </c>
      <c r="L19" s="81">
        <f t="shared" si="4"/>
        <v>0.4618117229129661</v>
      </c>
      <c r="M19" s="73">
        <f>M20+M21</f>
        <v>0.30000000000000004</v>
      </c>
      <c r="N19" s="73">
        <f>N20+N21</f>
        <v>14.9</v>
      </c>
      <c r="O19" s="81">
        <f t="shared" si="2"/>
        <v>0.020134228187919465</v>
      </c>
      <c r="P19" s="73">
        <f>P20+P21</f>
        <v>35.9</v>
      </c>
      <c r="Q19" s="73">
        <f>Q20+Q21</f>
        <v>40</v>
      </c>
      <c r="R19" s="73">
        <f>R20+R21</f>
        <v>39.6</v>
      </c>
    </row>
    <row r="20" spans="1:18" ht="18">
      <c r="A20" s="13" t="s">
        <v>14</v>
      </c>
      <c r="B20" s="13">
        <v>1060603310</v>
      </c>
      <c r="C20" s="73">
        <v>48.1</v>
      </c>
      <c r="D20" s="70">
        <f>50</f>
        <v>50</v>
      </c>
      <c r="E20" s="73">
        <f>C20+D20</f>
        <v>98.1</v>
      </c>
      <c r="F20" s="73"/>
      <c r="G20" s="73">
        <v>25.4</v>
      </c>
      <c r="H20" s="70">
        <f>G20+M20</f>
        <v>25.599999999999998</v>
      </c>
      <c r="I20" s="81">
        <f t="shared" si="1"/>
        <v>0.2609582059123344</v>
      </c>
      <c r="J20" s="81">
        <f t="shared" si="5"/>
        <v>0</v>
      </c>
      <c r="K20" s="73">
        <v>23.6</v>
      </c>
      <c r="L20" s="81">
        <f t="shared" si="4"/>
        <v>1.0847457627118642</v>
      </c>
      <c r="M20" s="73">
        <v>0.2</v>
      </c>
      <c r="N20" s="73">
        <v>14.9</v>
      </c>
      <c r="O20" s="81">
        <f t="shared" si="2"/>
        <v>0.013422818791946308</v>
      </c>
      <c r="P20" s="73">
        <v>23.8</v>
      </c>
      <c r="Q20" s="73">
        <v>16.5</v>
      </c>
      <c r="R20" s="73">
        <v>16.5</v>
      </c>
    </row>
    <row r="21" spans="1:18" ht="18">
      <c r="A21" s="13" t="s">
        <v>14</v>
      </c>
      <c r="B21" s="13">
        <v>1060604310</v>
      </c>
      <c r="C21" s="73">
        <v>24.9</v>
      </c>
      <c r="D21" s="70"/>
      <c r="E21" s="73">
        <f>C21+D21</f>
        <v>24.9</v>
      </c>
      <c r="F21" s="73"/>
      <c r="G21" s="73">
        <v>0.3</v>
      </c>
      <c r="H21" s="70">
        <f>G21+M21</f>
        <v>0.4</v>
      </c>
      <c r="I21" s="81">
        <f t="shared" si="1"/>
        <v>0.016064257028112452</v>
      </c>
      <c r="J21" s="81">
        <f t="shared" si="5"/>
        <v>0</v>
      </c>
      <c r="K21" s="73">
        <v>32.7</v>
      </c>
      <c r="L21" s="81">
        <f t="shared" si="4"/>
        <v>0.012232415902140673</v>
      </c>
      <c r="M21" s="73">
        <v>0.1</v>
      </c>
      <c r="N21" s="73"/>
      <c r="O21" s="81">
        <f t="shared" si="2"/>
        <v>0</v>
      </c>
      <c r="P21" s="73">
        <v>12.1</v>
      </c>
      <c r="Q21" s="73">
        <v>23.5</v>
      </c>
      <c r="R21" s="73">
        <v>23.1</v>
      </c>
    </row>
    <row r="22" spans="1:18" ht="18">
      <c r="A22" s="13" t="s">
        <v>12</v>
      </c>
      <c r="B22" s="13">
        <v>1060103010</v>
      </c>
      <c r="C22" s="73">
        <v>24.3</v>
      </c>
      <c r="D22" s="70">
        <f>20.5</f>
        <v>20.5</v>
      </c>
      <c r="E22" s="73">
        <f>C22+D22</f>
        <v>44.8</v>
      </c>
      <c r="F22" s="73"/>
      <c r="G22" s="73">
        <v>3.1</v>
      </c>
      <c r="H22" s="70">
        <f>G22+M22</f>
        <v>3.4</v>
      </c>
      <c r="I22" s="81">
        <f t="shared" si="1"/>
        <v>0.07589285714285715</v>
      </c>
      <c r="J22" s="81">
        <f t="shared" si="5"/>
        <v>0</v>
      </c>
      <c r="K22" s="73">
        <v>1.2</v>
      </c>
      <c r="L22" s="81">
        <f t="shared" si="4"/>
        <v>2.8333333333333335</v>
      </c>
      <c r="M22" s="73">
        <v>0.3</v>
      </c>
      <c r="N22" s="73">
        <v>0.1</v>
      </c>
      <c r="O22" s="81">
        <f t="shared" si="2"/>
        <v>2.9999999999999996</v>
      </c>
      <c r="P22" s="73">
        <v>162.8</v>
      </c>
      <c r="Q22" s="73">
        <v>160.3</v>
      </c>
      <c r="R22" s="73">
        <v>160</v>
      </c>
    </row>
    <row r="23" spans="1:18" ht="18">
      <c r="A23" s="9" t="s">
        <v>78</v>
      </c>
      <c r="B23" s="30">
        <v>1080402001</v>
      </c>
      <c r="C23" s="74">
        <v>5</v>
      </c>
      <c r="D23" s="75"/>
      <c r="E23" s="74">
        <f>C23+D23</f>
        <v>5</v>
      </c>
      <c r="F23" s="74"/>
      <c r="G23" s="74">
        <v>0.2</v>
      </c>
      <c r="H23" s="75">
        <f>G23+M23</f>
        <v>1.4</v>
      </c>
      <c r="I23" s="92">
        <f t="shared" si="1"/>
        <v>0.27999999999999997</v>
      </c>
      <c r="J23" s="92">
        <f t="shared" si="5"/>
        <v>0</v>
      </c>
      <c r="K23" s="74"/>
      <c r="L23" s="92">
        <f t="shared" si="4"/>
        <v>0</v>
      </c>
      <c r="M23" s="74">
        <v>1.2</v>
      </c>
      <c r="N23" s="74"/>
      <c r="O23" s="92">
        <f t="shared" si="2"/>
        <v>0</v>
      </c>
      <c r="P23" s="74"/>
      <c r="Q23" s="74"/>
      <c r="R23" s="74"/>
    </row>
    <row r="24" spans="1:18" ht="18">
      <c r="A24" s="9" t="s">
        <v>79</v>
      </c>
      <c r="B24" s="30">
        <v>1090405010</v>
      </c>
      <c r="C24" s="74"/>
      <c r="D24" s="74"/>
      <c r="E24" s="74">
        <f>C24+D24</f>
        <v>0</v>
      </c>
      <c r="F24" s="74"/>
      <c r="G24" s="74"/>
      <c r="H24" s="75">
        <f>G24+M24</f>
        <v>0</v>
      </c>
      <c r="I24" s="92">
        <f t="shared" si="1"/>
        <v>0</v>
      </c>
      <c r="J24" s="92">
        <f t="shared" si="5"/>
        <v>0</v>
      </c>
      <c r="K24" s="74"/>
      <c r="L24" s="92">
        <f t="shared" si="4"/>
        <v>0</v>
      </c>
      <c r="M24" s="74"/>
      <c r="N24" s="74"/>
      <c r="O24" s="92">
        <f t="shared" si="2"/>
        <v>0</v>
      </c>
      <c r="P24" s="74"/>
      <c r="Q24" s="74"/>
      <c r="R24" s="74"/>
    </row>
    <row r="25" spans="1:18" ht="18">
      <c r="A25" s="32" t="s">
        <v>24</v>
      </c>
      <c r="B25" s="32"/>
      <c r="C25" s="91">
        <f aca="true" t="shared" si="10" ref="C25:H25">C26+C30+C34+C32+C33+C31</f>
        <v>126</v>
      </c>
      <c r="D25" s="91">
        <f t="shared" si="10"/>
        <v>45</v>
      </c>
      <c r="E25" s="91">
        <f t="shared" si="10"/>
        <v>171</v>
      </c>
      <c r="F25" s="91">
        <f t="shared" si="10"/>
        <v>0</v>
      </c>
      <c r="G25" s="91">
        <f>G26+G30+G34+G32+G33+G31</f>
        <v>1.7</v>
      </c>
      <c r="H25" s="91">
        <f t="shared" si="10"/>
        <v>1.7</v>
      </c>
      <c r="I25" s="96">
        <f t="shared" si="1"/>
        <v>0.009941520467836256</v>
      </c>
      <c r="J25" s="96">
        <f t="shared" si="5"/>
        <v>0</v>
      </c>
      <c r="K25" s="91">
        <f>K26+K30+K34+K32+K33+K31</f>
        <v>1.8</v>
      </c>
      <c r="L25" s="96">
        <f t="shared" si="4"/>
        <v>0.9444444444444444</v>
      </c>
      <c r="M25" s="91">
        <f>M26+M30+M34+M32+M33+M31</f>
        <v>0</v>
      </c>
      <c r="N25" s="91">
        <f>N26+N30+N34+N32+N33+N31</f>
        <v>0.1</v>
      </c>
      <c r="O25" s="96">
        <f t="shared" si="2"/>
        <v>0</v>
      </c>
      <c r="P25" s="78">
        <f>P26+P30+P33</f>
        <v>0</v>
      </c>
      <c r="Q25" s="78">
        <f>Q26+Q30+Q33</f>
        <v>0</v>
      </c>
      <c r="R25" s="78">
        <f>R26+R30+R33</f>
        <v>0</v>
      </c>
    </row>
    <row r="26" spans="1:18" ht="18">
      <c r="A26" s="9" t="s">
        <v>80</v>
      </c>
      <c r="B26" s="30">
        <v>1110000000</v>
      </c>
      <c r="C26" s="74">
        <f aca="true" t="shared" si="11" ref="C26:H26">C27+C29+C28</f>
        <v>67.2</v>
      </c>
      <c r="D26" s="74">
        <f t="shared" si="11"/>
        <v>0</v>
      </c>
      <c r="E26" s="74">
        <f t="shared" si="11"/>
        <v>67.2</v>
      </c>
      <c r="F26" s="74">
        <f t="shared" si="11"/>
        <v>0</v>
      </c>
      <c r="G26" s="74">
        <f>G27+G29+G28</f>
        <v>1.7</v>
      </c>
      <c r="H26" s="74">
        <f t="shared" si="11"/>
        <v>1.7</v>
      </c>
      <c r="I26" s="92">
        <f t="shared" si="1"/>
        <v>0.025297619047619044</v>
      </c>
      <c r="J26" s="92">
        <f t="shared" si="5"/>
        <v>0</v>
      </c>
      <c r="K26" s="74">
        <f>K27+K29+K28</f>
        <v>1.7</v>
      </c>
      <c r="L26" s="92">
        <f t="shared" si="4"/>
        <v>1</v>
      </c>
      <c r="M26" s="74">
        <f>M27+M29+M28</f>
        <v>0</v>
      </c>
      <c r="N26" s="74">
        <f>N27+N29+N28</f>
        <v>0</v>
      </c>
      <c r="O26" s="92">
        <f t="shared" si="2"/>
        <v>0</v>
      </c>
      <c r="P26" s="74">
        <f>P27+P29+P28</f>
        <v>0</v>
      </c>
      <c r="Q26" s="74">
        <f>Q27+Q29+Q28</f>
        <v>0</v>
      </c>
      <c r="R26" s="74">
        <f>R27+R29+R28</f>
        <v>0</v>
      </c>
    </row>
    <row r="27" spans="1:18" ht="15.75" customHeight="1">
      <c r="A27" s="13" t="s">
        <v>28</v>
      </c>
      <c r="B27" s="13">
        <v>1110501013</v>
      </c>
      <c r="C27" s="73"/>
      <c r="D27" s="70"/>
      <c r="E27" s="73">
        <f aca="true" t="shared" si="12" ref="E27:E33">C27+D27</f>
        <v>0</v>
      </c>
      <c r="F27" s="73"/>
      <c r="G27" s="73"/>
      <c r="H27" s="70">
        <f aca="true" t="shared" si="13" ref="H27:H33">G27+M27</f>
        <v>0</v>
      </c>
      <c r="I27" s="81">
        <f t="shared" si="1"/>
        <v>0</v>
      </c>
      <c r="J27" s="81">
        <f t="shared" si="5"/>
        <v>0</v>
      </c>
      <c r="K27" s="73"/>
      <c r="L27" s="81">
        <f t="shared" si="4"/>
        <v>0</v>
      </c>
      <c r="M27" s="73"/>
      <c r="N27" s="73"/>
      <c r="O27" s="81">
        <f t="shared" si="2"/>
        <v>0</v>
      </c>
      <c r="P27" s="73"/>
      <c r="Q27" s="73"/>
      <c r="R27" s="73"/>
    </row>
    <row r="28" spans="1:18" ht="1.5" customHeight="1" hidden="1">
      <c r="A28" s="13" t="s">
        <v>29</v>
      </c>
      <c r="B28" s="13">
        <v>1110903510</v>
      </c>
      <c r="C28" s="73"/>
      <c r="D28" s="70"/>
      <c r="E28" s="73">
        <f t="shared" si="12"/>
        <v>0</v>
      </c>
      <c r="F28" s="73"/>
      <c r="G28" s="73"/>
      <c r="H28" s="70">
        <f t="shared" si="13"/>
        <v>0</v>
      </c>
      <c r="I28" s="81">
        <f t="shared" si="1"/>
        <v>0</v>
      </c>
      <c r="J28" s="81">
        <f t="shared" si="5"/>
        <v>0</v>
      </c>
      <c r="K28" s="73"/>
      <c r="L28" s="81">
        <f t="shared" si="4"/>
        <v>0</v>
      </c>
      <c r="M28" s="73"/>
      <c r="N28" s="73"/>
      <c r="O28" s="81">
        <f t="shared" si="2"/>
        <v>0</v>
      </c>
      <c r="P28" s="73"/>
      <c r="Q28" s="73"/>
      <c r="R28" s="73"/>
    </row>
    <row r="29" spans="1:18" ht="18">
      <c r="A29" s="33" t="s">
        <v>25</v>
      </c>
      <c r="B29" s="13">
        <v>1110904510</v>
      </c>
      <c r="C29" s="73">
        <v>67.2</v>
      </c>
      <c r="D29" s="70"/>
      <c r="E29" s="73">
        <f t="shared" si="12"/>
        <v>67.2</v>
      </c>
      <c r="F29" s="73"/>
      <c r="G29" s="73">
        <v>1.7</v>
      </c>
      <c r="H29" s="70">
        <f t="shared" si="13"/>
        <v>1.7</v>
      </c>
      <c r="I29" s="81">
        <f t="shared" si="1"/>
        <v>0.025297619047619044</v>
      </c>
      <c r="J29" s="81">
        <f t="shared" si="5"/>
        <v>0</v>
      </c>
      <c r="K29" s="73">
        <v>1.7</v>
      </c>
      <c r="L29" s="81">
        <f t="shared" si="4"/>
        <v>1</v>
      </c>
      <c r="M29" s="73"/>
      <c r="N29" s="73"/>
      <c r="O29" s="81">
        <f t="shared" si="2"/>
        <v>0</v>
      </c>
      <c r="P29" s="73"/>
      <c r="Q29" s="73"/>
      <c r="R29" s="73"/>
    </row>
    <row r="30" spans="1:18" ht="18">
      <c r="A30" s="9" t="s">
        <v>42</v>
      </c>
      <c r="B30" s="30">
        <v>1130299510</v>
      </c>
      <c r="C30" s="74">
        <v>58.8</v>
      </c>
      <c r="D30" s="74">
        <v>45</v>
      </c>
      <c r="E30" s="74">
        <f t="shared" si="12"/>
        <v>103.8</v>
      </c>
      <c r="F30" s="74"/>
      <c r="G30" s="74"/>
      <c r="H30" s="75">
        <f t="shared" si="13"/>
        <v>0</v>
      </c>
      <c r="I30" s="92">
        <f t="shared" si="1"/>
        <v>0</v>
      </c>
      <c r="J30" s="92">
        <f t="shared" si="5"/>
        <v>0</v>
      </c>
      <c r="K30" s="80"/>
      <c r="L30" s="92">
        <f t="shared" si="4"/>
        <v>0</v>
      </c>
      <c r="M30" s="74"/>
      <c r="N30" s="74"/>
      <c r="O30" s="92">
        <f t="shared" si="2"/>
        <v>0</v>
      </c>
      <c r="P30" s="74"/>
      <c r="Q30" s="74"/>
      <c r="R30" s="74"/>
    </row>
    <row r="31" spans="1:18" ht="18">
      <c r="A31" s="9" t="s">
        <v>50</v>
      </c>
      <c r="B31" s="30">
        <v>1140205310</v>
      </c>
      <c r="C31" s="74"/>
      <c r="D31" s="74"/>
      <c r="E31" s="74">
        <f t="shared" si="12"/>
        <v>0</v>
      </c>
      <c r="F31" s="74"/>
      <c r="G31" s="74"/>
      <c r="H31" s="75">
        <f t="shared" si="13"/>
        <v>0</v>
      </c>
      <c r="I31" s="92">
        <f t="shared" si="1"/>
        <v>0</v>
      </c>
      <c r="J31" s="92"/>
      <c r="K31" s="80"/>
      <c r="L31" s="92">
        <f t="shared" si="4"/>
        <v>0</v>
      </c>
      <c r="M31" s="74"/>
      <c r="N31" s="74"/>
      <c r="O31" s="92">
        <f t="shared" si="2"/>
        <v>0</v>
      </c>
      <c r="P31" s="74"/>
      <c r="Q31" s="74"/>
      <c r="R31" s="74"/>
    </row>
    <row r="32" spans="1:18" ht="18">
      <c r="A32" s="9" t="s">
        <v>84</v>
      </c>
      <c r="B32" s="30">
        <v>1140601410</v>
      </c>
      <c r="C32" s="74"/>
      <c r="D32" s="74"/>
      <c r="E32" s="74">
        <f t="shared" si="12"/>
        <v>0</v>
      </c>
      <c r="F32" s="74"/>
      <c r="G32" s="74"/>
      <c r="H32" s="75">
        <f t="shared" si="13"/>
        <v>0</v>
      </c>
      <c r="I32" s="92">
        <f t="shared" si="1"/>
        <v>0</v>
      </c>
      <c r="J32" s="92">
        <f t="shared" si="5"/>
        <v>0</v>
      </c>
      <c r="K32" s="80"/>
      <c r="L32" s="92">
        <f t="shared" si="4"/>
        <v>0</v>
      </c>
      <c r="M32" s="74"/>
      <c r="N32" s="74"/>
      <c r="O32" s="92">
        <f t="shared" si="2"/>
        <v>0</v>
      </c>
      <c r="P32" s="74"/>
      <c r="Q32" s="74"/>
      <c r="R32" s="74"/>
    </row>
    <row r="33" spans="1:18" ht="18">
      <c r="A33" s="9" t="s">
        <v>83</v>
      </c>
      <c r="B33" s="30">
        <v>1169005010</v>
      </c>
      <c r="C33" s="74"/>
      <c r="D33" s="74"/>
      <c r="E33" s="74">
        <f t="shared" si="12"/>
        <v>0</v>
      </c>
      <c r="F33" s="74"/>
      <c r="G33" s="74"/>
      <c r="H33" s="75">
        <f t="shared" si="13"/>
        <v>0</v>
      </c>
      <c r="I33" s="92">
        <f>IF(E33&gt;0,H33/E33,0)</f>
        <v>0</v>
      </c>
      <c r="J33" s="92">
        <f>IF(F33&gt;0,H33/F33,0)</f>
        <v>0</v>
      </c>
      <c r="K33" s="80"/>
      <c r="L33" s="92">
        <f t="shared" si="4"/>
        <v>0</v>
      </c>
      <c r="M33" s="74"/>
      <c r="N33" s="74"/>
      <c r="O33" s="92">
        <f t="shared" si="2"/>
        <v>0</v>
      </c>
      <c r="P33" s="74"/>
      <c r="Q33" s="74"/>
      <c r="R33" s="74"/>
    </row>
    <row r="34" spans="1:18" ht="18">
      <c r="A34" s="9" t="s">
        <v>75</v>
      </c>
      <c r="B34" s="30">
        <v>1170000000</v>
      </c>
      <c r="C34" s="75">
        <f aca="true" t="shared" si="14" ref="C34:H34">SUM(C35:C36)</f>
        <v>0</v>
      </c>
      <c r="D34" s="75">
        <f t="shared" si="14"/>
        <v>0</v>
      </c>
      <c r="E34" s="75">
        <f t="shared" si="14"/>
        <v>0</v>
      </c>
      <c r="F34" s="75">
        <f t="shared" si="14"/>
        <v>0</v>
      </c>
      <c r="G34" s="75">
        <f>SUM(G35:G36)</f>
        <v>0</v>
      </c>
      <c r="H34" s="75">
        <f t="shared" si="14"/>
        <v>0</v>
      </c>
      <c r="I34" s="92">
        <f>IF(E34&gt;0,H34/E34,0)</f>
        <v>0</v>
      </c>
      <c r="J34" s="92">
        <f>IF(F34&gt;0,H34/F34,0)</f>
        <v>0</v>
      </c>
      <c r="K34" s="75">
        <f>SUM(K35:K36)</f>
        <v>0.1</v>
      </c>
      <c r="L34" s="92">
        <f t="shared" si="4"/>
        <v>0</v>
      </c>
      <c r="M34" s="75">
        <f>SUM(M35:M36)</f>
        <v>0</v>
      </c>
      <c r="N34" s="75">
        <f>SUM(N35:N36)</f>
        <v>0.1</v>
      </c>
      <c r="O34" s="92">
        <f t="shared" si="2"/>
        <v>0</v>
      </c>
      <c r="P34" s="75">
        <f>SUM(P35:P36)</f>
        <v>0</v>
      </c>
      <c r="Q34" s="75">
        <f>SUM(Q35:Q36)</f>
        <v>0</v>
      </c>
      <c r="R34" s="75">
        <f>SUM(R35:R36)</f>
        <v>0</v>
      </c>
    </row>
    <row r="35" spans="1:18" ht="18">
      <c r="A35" s="13" t="s">
        <v>8</v>
      </c>
      <c r="B35" s="13">
        <v>1170103003</v>
      </c>
      <c r="C35" s="73"/>
      <c r="D35" s="73"/>
      <c r="E35" s="73">
        <f>C35+D35</f>
        <v>0</v>
      </c>
      <c r="F35" s="73"/>
      <c r="G35" s="73"/>
      <c r="H35" s="70">
        <f>G35+M35</f>
        <v>0</v>
      </c>
      <c r="I35" s="81">
        <f t="shared" si="1"/>
        <v>0</v>
      </c>
      <c r="J35" s="81">
        <f t="shared" si="5"/>
        <v>0</v>
      </c>
      <c r="K35" s="79"/>
      <c r="L35" s="81">
        <f t="shared" si="4"/>
        <v>0</v>
      </c>
      <c r="M35" s="73"/>
      <c r="N35" s="73"/>
      <c r="O35" s="81">
        <f aca="true" t="shared" si="15" ref="O35:O41">IF(N35&gt;0,M35/N35,0)</f>
        <v>0</v>
      </c>
      <c r="P35" s="81"/>
      <c r="Q35" s="81"/>
      <c r="R35" s="81"/>
    </row>
    <row r="36" spans="1:18" ht="18">
      <c r="A36" s="13" t="s">
        <v>37</v>
      </c>
      <c r="B36" s="13">
        <v>1170505010</v>
      </c>
      <c r="C36" s="73"/>
      <c r="D36" s="70"/>
      <c r="E36" s="73">
        <f>C36+D36</f>
        <v>0</v>
      </c>
      <c r="F36" s="73"/>
      <c r="G36" s="73"/>
      <c r="H36" s="70">
        <f>G36+M36</f>
        <v>0</v>
      </c>
      <c r="I36" s="81">
        <f>IF(E36&gt;0,H36/E36,0)</f>
        <v>0</v>
      </c>
      <c r="J36" s="81">
        <f>IF(F36&gt;0,H36/F36,0)</f>
        <v>0</v>
      </c>
      <c r="K36" s="79">
        <v>0.1</v>
      </c>
      <c r="L36" s="81">
        <f>IF(K36&gt;0,H36/K36,0)</f>
        <v>0</v>
      </c>
      <c r="M36" s="73"/>
      <c r="N36" s="73">
        <v>0.1</v>
      </c>
      <c r="O36" s="81">
        <f t="shared" si="15"/>
        <v>0</v>
      </c>
      <c r="P36" s="73"/>
      <c r="Q36" s="73"/>
      <c r="R36" s="73"/>
    </row>
    <row r="37" spans="1:18" ht="18">
      <c r="A37" s="9" t="s">
        <v>6</v>
      </c>
      <c r="B37" s="9">
        <v>1000000000</v>
      </c>
      <c r="C37" s="83">
        <f aca="true" t="shared" si="16" ref="C37:H37">C5+C25</f>
        <v>1132.6999999999998</v>
      </c>
      <c r="D37" s="83">
        <f t="shared" si="16"/>
        <v>115.5</v>
      </c>
      <c r="E37" s="83">
        <f t="shared" si="16"/>
        <v>1248.2</v>
      </c>
      <c r="F37" s="83">
        <f t="shared" si="16"/>
        <v>0</v>
      </c>
      <c r="G37" s="83">
        <f>G5+G25</f>
        <v>141.39999999999998</v>
      </c>
      <c r="H37" s="83">
        <f t="shared" si="16"/>
        <v>260.59999999999997</v>
      </c>
      <c r="I37" s="97">
        <f t="shared" si="1"/>
        <v>0.20878064412754363</v>
      </c>
      <c r="J37" s="97">
        <f t="shared" si="5"/>
        <v>0</v>
      </c>
      <c r="K37" s="83">
        <f>K5+K25</f>
        <v>295.40000000000003</v>
      </c>
      <c r="L37" s="97">
        <f t="shared" si="4"/>
        <v>0.8821936357481379</v>
      </c>
      <c r="M37" s="83">
        <f>M5+M25</f>
        <v>119.2</v>
      </c>
      <c r="N37" s="83">
        <f>N5+N25</f>
        <v>109.69999999999999</v>
      </c>
      <c r="O37" s="97">
        <f t="shared" si="15"/>
        <v>1.0865998176845946</v>
      </c>
      <c r="P37" s="83">
        <f>P5+P25</f>
        <v>198.70000000000002</v>
      </c>
      <c r="Q37" s="83">
        <f>Q5+Q25</f>
        <v>200.3</v>
      </c>
      <c r="R37" s="83">
        <f>R5+R25</f>
        <v>200.9</v>
      </c>
    </row>
    <row r="38" spans="1:18" ht="18">
      <c r="A38" s="9" t="s">
        <v>98</v>
      </c>
      <c r="B38" s="9"/>
      <c r="C38" s="83">
        <f aca="true" t="shared" si="17" ref="C38:H38">C37-C11</f>
        <v>764.9999999999998</v>
      </c>
      <c r="D38" s="83">
        <f t="shared" si="17"/>
        <v>115.5</v>
      </c>
      <c r="E38" s="83">
        <f t="shared" si="17"/>
        <v>880.5</v>
      </c>
      <c r="F38" s="83">
        <f t="shared" si="17"/>
        <v>0</v>
      </c>
      <c r="G38" s="83">
        <f>G37-G11</f>
        <v>85.09999999999998</v>
      </c>
      <c r="H38" s="83">
        <f t="shared" si="17"/>
        <v>128.7</v>
      </c>
      <c r="I38" s="97">
        <f>IF(E38&gt;0,H38/E38,0)</f>
        <v>0.14616695059625212</v>
      </c>
      <c r="J38" s="97">
        <f>IF(F38&gt;0,H38/F38,0)</f>
        <v>0</v>
      </c>
      <c r="K38" s="83">
        <f>K37-K11</f>
        <v>176.00000000000003</v>
      </c>
      <c r="L38" s="97">
        <f t="shared" si="4"/>
        <v>0.7312499999999998</v>
      </c>
      <c r="M38" s="83">
        <f>M37-M11</f>
        <v>43.60000000000001</v>
      </c>
      <c r="N38" s="83">
        <f>N37-N11</f>
        <v>68.1</v>
      </c>
      <c r="O38" s="97">
        <f t="shared" si="15"/>
        <v>0.6402349486049929</v>
      </c>
      <c r="P38" s="83"/>
      <c r="Q38" s="83"/>
      <c r="R38" s="83"/>
    </row>
    <row r="39" spans="1:18" ht="18">
      <c r="A39" s="13" t="s">
        <v>27</v>
      </c>
      <c r="B39" s="13">
        <v>2000000000</v>
      </c>
      <c r="C39" s="73">
        <v>945.45</v>
      </c>
      <c r="D39" s="86">
        <f>0.05</f>
        <v>0.05</v>
      </c>
      <c r="E39" s="73">
        <f>C39+D39</f>
        <v>945.5</v>
      </c>
      <c r="F39" s="73"/>
      <c r="G39" s="73">
        <v>94</v>
      </c>
      <c r="H39" s="70">
        <f>G39+M39</f>
        <v>135.7</v>
      </c>
      <c r="I39" s="81">
        <f t="shared" si="1"/>
        <v>0.14352194606028554</v>
      </c>
      <c r="J39" s="81">
        <f t="shared" si="5"/>
        <v>0</v>
      </c>
      <c r="K39" s="94">
        <v>196.8</v>
      </c>
      <c r="L39" s="81">
        <f t="shared" si="4"/>
        <v>0.6895325203252032</v>
      </c>
      <c r="M39" s="73">
        <v>41.7</v>
      </c>
      <c r="N39" s="73">
        <v>61.4</v>
      </c>
      <c r="O39" s="81">
        <f t="shared" si="15"/>
        <v>0.6791530944625408</v>
      </c>
      <c r="P39" s="73"/>
      <c r="Q39" s="73"/>
      <c r="R39" s="73"/>
    </row>
    <row r="40" spans="1:18" ht="18">
      <c r="A40" s="13" t="s">
        <v>52</v>
      </c>
      <c r="B40" s="34" t="s">
        <v>41</v>
      </c>
      <c r="C40" s="73"/>
      <c r="D40" s="86"/>
      <c r="E40" s="73">
        <f>C40+D40</f>
        <v>0</v>
      </c>
      <c r="F40" s="73"/>
      <c r="G40" s="73"/>
      <c r="H40" s="70">
        <f>G40+M40</f>
        <v>0</v>
      </c>
      <c r="I40" s="81">
        <f t="shared" si="1"/>
        <v>0</v>
      </c>
      <c r="J40" s="81"/>
      <c r="K40" s="94"/>
      <c r="L40" s="81">
        <f t="shared" si="4"/>
        <v>0</v>
      </c>
      <c r="M40" s="73"/>
      <c r="N40" s="94"/>
      <c r="O40" s="81">
        <f t="shared" si="15"/>
        <v>0</v>
      </c>
      <c r="P40" s="73"/>
      <c r="Q40" s="73"/>
      <c r="R40" s="73"/>
    </row>
    <row r="41" spans="1:18" ht="18">
      <c r="A41" s="9" t="s">
        <v>2</v>
      </c>
      <c r="B41" s="9">
        <v>0</v>
      </c>
      <c r="C41" s="93">
        <f>C37+C39+C40</f>
        <v>2078.1499999999996</v>
      </c>
      <c r="D41" s="93">
        <f>D37+D39+D40</f>
        <v>115.55</v>
      </c>
      <c r="E41" s="93">
        <f>E37+E39+E40</f>
        <v>2193.7</v>
      </c>
      <c r="F41" s="93">
        <f>F37+F39</f>
        <v>0</v>
      </c>
      <c r="G41" s="83">
        <f>G37+G39+G40</f>
        <v>235.39999999999998</v>
      </c>
      <c r="H41" s="83">
        <f>H37+H39+H40</f>
        <v>396.29999999999995</v>
      </c>
      <c r="I41" s="97">
        <f t="shared" si="1"/>
        <v>0.18065369011259516</v>
      </c>
      <c r="J41" s="97">
        <f t="shared" si="5"/>
        <v>0</v>
      </c>
      <c r="K41" s="83">
        <f>K37+K39+K40</f>
        <v>492.20000000000005</v>
      </c>
      <c r="L41" s="97">
        <f t="shared" si="4"/>
        <v>0.8051605038602192</v>
      </c>
      <c r="M41" s="83">
        <f>M37+M39+M40</f>
        <v>160.9</v>
      </c>
      <c r="N41" s="83">
        <f>N37+N39+N40</f>
        <v>171.1</v>
      </c>
      <c r="O41" s="97">
        <f t="shared" si="15"/>
        <v>0.940385739333723</v>
      </c>
      <c r="P41" s="98">
        <f>P37+P39</f>
        <v>198.70000000000002</v>
      </c>
      <c r="Q41" s="83">
        <f>Q37+Q39</f>
        <v>200.3</v>
      </c>
      <c r="R41" s="83">
        <f>R37+R39</f>
        <v>200.9</v>
      </c>
    </row>
  </sheetData>
  <sheetProtection/>
  <mergeCells count="15">
    <mergeCell ref="A3:A4"/>
    <mergeCell ref="B3:B4"/>
    <mergeCell ref="C3:C4"/>
    <mergeCell ref="E3:E4"/>
    <mergeCell ref="P3:R3"/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</mergeCells>
  <printOptions/>
  <pageMargins left="0.75" right="0.75" top="1" bottom="1" header="0.5" footer="0.5"/>
  <pageSetup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7" sqref="R7:R22"/>
    </sheetView>
  </sheetViews>
  <sheetFormatPr defaultColWidth="9.00390625" defaultRowHeight="12.75"/>
  <cols>
    <col min="1" max="1" width="41.375" style="0" customWidth="1"/>
    <col min="2" max="2" width="14.875" style="0" customWidth="1"/>
    <col min="3" max="4" width="11.25390625" style="0" customWidth="1"/>
    <col min="5" max="5" width="11.75390625" style="0" customWidth="1"/>
    <col min="6" max="6" width="0.12890625" style="0" customWidth="1"/>
    <col min="7" max="7" width="9.875" style="0" customWidth="1"/>
    <col min="8" max="8" width="12.00390625" style="0" customWidth="1"/>
    <col min="9" max="9" width="11.625" style="0" customWidth="1"/>
    <col min="10" max="10" width="9.875" style="0" hidden="1" customWidth="1"/>
    <col min="11" max="11" width="10.375" style="0" customWidth="1"/>
    <col min="12" max="12" width="14.375" style="0" customWidth="1"/>
    <col min="13" max="13" width="9.75390625" style="0" customWidth="1"/>
    <col min="14" max="14" width="8.875" style="0" customWidth="1"/>
    <col min="15" max="15" width="14.125" style="0" customWidth="1"/>
    <col min="16" max="16" width="10.625" style="0" customWidth="1"/>
    <col min="17" max="17" width="9.875" style="0" customWidth="1"/>
    <col min="18" max="18" width="10.00390625" style="0" customWidth="1"/>
  </cols>
  <sheetData>
    <row r="1" spans="1:18" ht="15.75">
      <c r="A1" s="26"/>
      <c r="B1" s="48"/>
      <c r="C1" s="143" t="s">
        <v>11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49"/>
      <c r="O1" s="49"/>
      <c r="P1" s="26"/>
      <c r="Q1" s="26"/>
      <c r="R1" s="26"/>
    </row>
    <row r="2" spans="1:18" ht="15.75">
      <c r="A2" s="26"/>
      <c r="B2" s="148" t="s">
        <v>118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18" ht="13.5" customHeight="1">
      <c r="A3" s="136" t="s">
        <v>3</v>
      </c>
      <c r="B3" s="136" t="s">
        <v>4</v>
      </c>
      <c r="C3" s="136" t="s">
        <v>102</v>
      </c>
      <c r="D3" s="141" t="s">
        <v>26</v>
      </c>
      <c r="E3" s="141" t="s">
        <v>103</v>
      </c>
      <c r="F3" s="136" t="s">
        <v>105</v>
      </c>
      <c r="G3" s="136" t="s">
        <v>106</v>
      </c>
      <c r="H3" s="136" t="s">
        <v>104</v>
      </c>
      <c r="I3" s="136"/>
      <c r="J3" s="136"/>
      <c r="K3" s="136" t="s">
        <v>53</v>
      </c>
      <c r="L3" s="136"/>
      <c r="M3" s="136" t="s">
        <v>108</v>
      </c>
      <c r="N3" s="136" t="s">
        <v>109</v>
      </c>
      <c r="O3" s="138" t="s">
        <v>20</v>
      </c>
      <c r="P3" s="138" t="s">
        <v>9</v>
      </c>
      <c r="Q3" s="138"/>
      <c r="R3" s="138"/>
    </row>
    <row r="4" spans="1:18" ht="93.75" customHeight="1">
      <c r="A4" s="147"/>
      <c r="B4" s="147"/>
      <c r="C4" s="136"/>
      <c r="D4" s="142"/>
      <c r="E4" s="141"/>
      <c r="F4" s="136"/>
      <c r="G4" s="136"/>
      <c r="H4" s="47" t="s">
        <v>107</v>
      </c>
      <c r="I4" s="47" t="s">
        <v>10</v>
      </c>
      <c r="J4" s="47" t="s">
        <v>31</v>
      </c>
      <c r="K4" s="47" t="s">
        <v>107</v>
      </c>
      <c r="L4" s="47" t="s">
        <v>32</v>
      </c>
      <c r="M4" s="136"/>
      <c r="N4" s="136"/>
      <c r="O4" s="138"/>
      <c r="P4" s="129" t="s">
        <v>101</v>
      </c>
      <c r="Q4" s="129" t="s">
        <v>110</v>
      </c>
      <c r="R4" s="129" t="s">
        <v>113</v>
      </c>
    </row>
    <row r="5" spans="1:18" ht="17.25" customHeight="1">
      <c r="A5" s="29" t="s">
        <v>23</v>
      </c>
      <c r="B5" s="29"/>
      <c r="C5" s="95">
        <f aca="true" t="shared" si="0" ref="C5:H5">C6+C16+C18+C23+C24+C11</f>
        <v>1333</v>
      </c>
      <c r="D5" s="95">
        <f t="shared" si="0"/>
        <v>36</v>
      </c>
      <c r="E5" s="95">
        <f t="shared" si="0"/>
        <v>1369</v>
      </c>
      <c r="F5" s="95">
        <f t="shared" si="0"/>
        <v>0</v>
      </c>
      <c r="G5" s="95">
        <f t="shared" si="0"/>
        <v>282.50000000000006</v>
      </c>
      <c r="H5" s="95">
        <f t="shared" si="0"/>
        <v>421.7</v>
      </c>
      <c r="I5" s="96">
        <f aca="true" t="shared" si="1" ref="I5:I40">IF(E5&gt;0,H5/E5,0)</f>
        <v>0.30803506208911613</v>
      </c>
      <c r="J5" s="96">
        <f>IF(F5&gt;0,H5/F5,0)</f>
        <v>0</v>
      </c>
      <c r="K5" s="95">
        <f>K6+K16+K18+K23+K24+K11</f>
        <v>354.8</v>
      </c>
      <c r="L5" s="96">
        <f>IF(K5&gt;0,H5/K5,0)</f>
        <v>1.1885569334836528</v>
      </c>
      <c r="M5" s="95">
        <f>M6+M16+M18+M23+M24+M11</f>
        <v>139.20000000000002</v>
      </c>
      <c r="N5" s="95">
        <f>N6+N16+N18+N23+N24+N11</f>
        <v>81.7</v>
      </c>
      <c r="O5" s="96">
        <f aca="true" t="shared" si="2" ref="O5:O40">IF(N5&gt;0,M5/N5,0)</f>
        <v>1.703794369645043</v>
      </c>
      <c r="P5" s="95">
        <f>P6+P16+P18+P23+P24+P11</f>
        <v>140.6</v>
      </c>
      <c r="Q5" s="95">
        <f>Q6+Q16+Q18+Q23+Q24+Q11</f>
        <v>143.9</v>
      </c>
      <c r="R5" s="95">
        <f>R6+R16+R18+R23+R24+R11</f>
        <v>156.8</v>
      </c>
    </row>
    <row r="6" spans="1:18" ht="18">
      <c r="A6" s="9" t="s">
        <v>69</v>
      </c>
      <c r="B6" s="30">
        <v>1010200001</v>
      </c>
      <c r="C6" s="74">
        <f aca="true" t="shared" si="3" ref="C6:H6">C7+C8+C9+C10</f>
        <v>701</v>
      </c>
      <c r="D6" s="74">
        <f t="shared" si="3"/>
        <v>0</v>
      </c>
      <c r="E6" s="74">
        <f t="shared" si="3"/>
        <v>701</v>
      </c>
      <c r="F6" s="74">
        <f t="shared" si="3"/>
        <v>0</v>
      </c>
      <c r="G6" s="74">
        <f t="shared" si="3"/>
        <v>89</v>
      </c>
      <c r="H6" s="74">
        <f t="shared" si="3"/>
        <v>151.29999999999998</v>
      </c>
      <c r="I6" s="92">
        <f t="shared" si="1"/>
        <v>0.21583452211126958</v>
      </c>
      <c r="J6" s="92">
        <f>IF(F6&gt;0,H6/F6,0)</f>
        <v>0</v>
      </c>
      <c r="K6" s="99">
        <f>SUM(K7:K10)</f>
        <v>121.2</v>
      </c>
      <c r="L6" s="92">
        <f aca="true" t="shared" si="4" ref="L6:L40">IF(K6&gt;0,H6/K6,0)</f>
        <v>1.2483498349834983</v>
      </c>
      <c r="M6" s="74">
        <f>M7+M8+M9+M10</f>
        <v>62.3</v>
      </c>
      <c r="N6" s="74">
        <f>N7+N8+N9+N10</f>
        <v>47</v>
      </c>
      <c r="O6" s="92">
        <f t="shared" si="2"/>
        <v>1.3255319148936169</v>
      </c>
      <c r="P6" s="74">
        <f>P7+P8+P9+P10</f>
        <v>16.9</v>
      </c>
      <c r="Q6" s="74">
        <f>Q7+Q8+Q9+Q10</f>
        <v>16.9</v>
      </c>
      <c r="R6" s="74">
        <f>R7+R8+R9+R10</f>
        <v>16.9</v>
      </c>
    </row>
    <row r="7" spans="1:18" ht="21" customHeight="1">
      <c r="A7" s="10" t="s">
        <v>49</v>
      </c>
      <c r="B7" s="13">
        <v>1010201001</v>
      </c>
      <c r="C7" s="73">
        <v>699.4</v>
      </c>
      <c r="D7" s="70"/>
      <c r="E7" s="73">
        <f>C7+D7</f>
        <v>699.4</v>
      </c>
      <c r="F7" s="73"/>
      <c r="G7" s="70">
        <v>88.9</v>
      </c>
      <c r="H7" s="70">
        <f>G7+M7</f>
        <v>151.2</v>
      </c>
      <c r="I7" s="81">
        <f t="shared" si="1"/>
        <v>0.2161853016871604</v>
      </c>
      <c r="J7" s="81">
        <f aca="true" t="shared" si="5" ref="J7:J38">IF(F7&gt;0,H7/F7,0)</f>
        <v>0</v>
      </c>
      <c r="K7" s="70">
        <v>121.2</v>
      </c>
      <c r="L7" s="81">
        <f t="shared" si="4"/>
        <v>1.2475247524752473</v>
      </c>
      <c r="M7" s="70">
        <v>62.3</v>
      </c>
      <c r="N7" s="70">
        <v>47</v>
      </c>
      <c r="O7" s="81">
        <f t="shared" si="2"/>
        <v>1.3255319148936169</v>
      </c>
      <c r="P7" s="73">
        <v>16.9</v>
      </c>
      <c r="Q7" s="73">
        <v>16.9</v>
      </c>
      <c r="R7" s="73">
        <v>16.9</v>
      </c>
    </row>
    <row r="8" spans="1:18" ht="18" customHeight="1">
      <c r="A8" s="10" t="s">
        <v>48</v>
      </c>
      <c r="B8" s="13">
        <v>1010202001</v>
      </c>
      <c r="C8" s="73"/>
      <c r="D8" s="70"/>
      <c r="E8" s="73">
        <f>C8+D8</f>
        <v>0</v>
      </c>
      <c r="F8" s="73"/>
      <c r="G8" s="73"/>
      <c r="H8" s="70">
        <f>G8+M8</f>
        <v>0</v>
      </c>
      <c r="I8" s="81">
        <f t="shared" si="1"/>
        <v>0</v>
      </c>
      <c r="J8" s="81">
        <f t="shared" si="5"/>
        <v>0</v>
      </c>
      <c r="K8" s="73"/>
      <c r="L8" s="81">
        <f>IF(K8&gt;0,H8/K8,0)</f>
        <v>0</v>
      </c>
      <c r="M8" s="73"/>
      <c r="N8" s="73"/>
      <c r="O8" s="81">
        <f t="shared" si="2"/>
        <v>0</v>
      </c>
      <c r="P8" s="73"/>
      <c r="Q8" s="73"/>
      <c r="R8" s="73"/>
    </row>
    <row r="9" spans="1:18" ht="20.25" customHeight="1">
      <c r="A9" s="10" t="s">
        <v>46</v>
      </c>
      <c r="B9" s="13">
        <v>1010203001</v>
      </c>
      <c r="C9" s="73">
        <v>1.6</v>
      </c>
      <c r="D9" s="73"/>
      <c r="E9" s="73">
        <f>C9+D9</f>
        <v>1.6</v>
      </c>
      <c r="F9" s="73"/>
      <c r="G9" s="73">
        <v>0.1</v>
      </c>
      <c r="H9" s="70">
        <f>G9+M9</f>
        <v>0.1</v>
      </c>
      <c r="I9" s="81">
        <f t="shared" si="1"/>
        <v>0.0625</v>
      </c>
      <c r="J9" s="81">
        <f t="shared" si="5"/>
        <v>0</v>
      </c>
      <c r="K9" s="73"/>
      <c r="L9" s="81">
        <f t="shared" si="4"/>
        <v>0</v>
      </c>
      <c r="M9" s="73"/>
      <c r="N9" s="73"/>
      <c r="O9" s="81">
        <f t="shared" si="2"/>
        <v>0</v>
      </c>
      <c r="P9" s="73"/>
      <c r="Q9" s="73"/>
      <c r="R9" s="73"/>
    </row>
    <row r="10" spans="1:18" ht="15" customHeight="1" hidden="1">
      <c r="A10" s="10" t="s">
        <v>47</v>
      </c>
      <c r="B10" s="13">
        <v>1010204001</v>
      </c>
      <c r="C10" s="73"/>
      <c r="D10" s="73"/>
      <c r="E10" s="73">
        <f>C10+D10</f>
        <v>0</v>
      </c>
      <c r="F10" s="73"/>
      <c r="G10" s="73"/>
      <c r="H10" s="70">
        <f>G10+M10</f>
        <v>0</v>
      </c>
      <c r="I10" s="81">
        <f t="shared" si="1"/>
        <v>0</v>
      </c>
      <c r="J10" s="81">
        <f t="shared" si="5"/>
        <v>0</v>
      </c>
      <c r="K10" s="73"/>
      <c r="L10" s="81">
        <f t="shared" si="4"/>
        <v>0</v>
      </c>
      <c r="M10" s="73"/>
      <c r="N10" s="73"/>
      <c r="O10" s="81">
        <f t="shared" si="2"/>
        <v>0</v>
      </c>
      <c r="P10" s="73"/>
      <c r="Q10" s="73"/>
      <c r="R10" s="73"/>
    </row>
    <row r="11" spans="1:18" ht="16.5" customHeight="1">
      <c r="A11" s="11" t="s">
        <v>54</v>
      </c>
      <c r="B11" s="19">
        <v>1030200001</v>
      </c>
      <c r="C11" s="74">
        <f aca="true" t="shared" si="6" ref="C11:H11">SUM(C12:C15)</f>
        <v>327.09999999999997</v>
      </c>
      <c r="D11" s="74">
        <f t="shared" si="6"/>
        <v>0</v>
      </c>
      <c r="E11" s="74">
        <f t="shared" si="6"/>
        <v>327.09999999999997</v>
      </c>
      <c r="F11" s="74"/>
      <c r="G11" s="74">
        <f>SUM(G12:G15)</f>
        <v>49.800000000000004</v>
      </c>
      <c r="H11" s="74">
        <f t="shared" si="6"/>
        <v>117</v>
      </c>
      <c r="I11" s="68">
        <f t="shared" si="1"/>
        <v>0.35768878018954453</v>
      </c>
      <c r="J11" s="68">
        <f>IF(F11&gt;0,H11/F11,0)</f>
        <v>0</v>
      </c>
      <c r="K11" s="74">
        <f>SUM(K12:K15)</f>
        <v>88.5</v>
      </c>
      <c r="L11" s="68">
        <f t="shared" si="4"/>
        <v>1.3220338983050848</v>
      </c>
      <c r="M11" s="74">
        <f>SUM(M12:M15)</f>
        <v>67.2</v>
      </c>
      <c r="N11" s="74">
        <f>SUM(N12:N15)</f>
        <v>30.9</v>
      </c>
      <c r="O11" s="68">
        <f t="shared" si="2"/>
        <v>2.1747572815533984</v>
      </c>
      <c r="P11" s="74">
        <f>SUM(P12:P15)</f>
        <v>0</v>
      </c>
      <c r="Q11" s="74">
        <f>SUM(Q12:Q15)</f>
        <v>0</v>
      </c>
      <c r="R11" s="74">
        <f>SUM(R12:R15)</f>
        <v>0</v>
      </c>
    </row>
    <row r="12" spans="1:18" ht="20.25" customHeight="1">
      <c r="A12" s="12" t="s">
        <v>55</v>
      </c>
      <c r="B12" s="12">
        <v>1030223001</v>
      </c>
      <c r="C12" s="73">
        <v>98.2</v>
      </c>
      <c r="D12" s="73"/>
      <c r="E12" s="69">
        <f>C12+D12</f>
        <v>98.2</v>
      </c>
      <c r="F12" s="69"/>
      <c r="G12" s="73">
        <v>18.8</v>
      </c>
      <c r="H12" s="71">
        <f>G12+M12</f>
        <v>39.6</v>
      </c>
      <c r="I12" s="72">
        <f t="shared" si="1"/>
        <v>0.40325865580448067</v>
      </c>
      <c r="J12" s="72">
        <f>IF(F12&gt;0,H12/F12,0)</f>
        <v>0</v>
      </c>
      <c r="K12" s="73">
        <v>35</v>
      </c>
      <c r="L12" s="72">
        <f t="shared" si="4"/>
        <v>1.1314285714285715</v>
      </c>
      <c r="M12" s="73">
        <v>20.8</v>
      </c>
      <c r="N12" s="73">
        <v>12.6</v>
      </c>
      <c r="O12" s="72">
        <f t="shared" si="2"/>
        <v>1.650793650793651</v>
      </c>
      <c r="P12" s="73"/>
      <c r="Q12" s="73"/>
      <c r="R12" s="73"/>
    </row>
    <row r="13" spans="1:18" ht="18" customHeight="1">
      <c r="A13" s="12" t="s">
        <v>56</v>
      </c>
      <c r="B13" s="12">
        <v>1030224001</v>
      </c>
      <c r="C13" s="73">
        <v>3.4</v>
      </c>
      <c r="D13" s="73"/>
      <c r="E13" s="69">
        <f>C13+D13</f>
        <v>3.4</v>
      </c>
      <c r="F13" s="69"/>
      <c r="G13" s="73">
        <v>0.4</v>
      </c>
      <c r="H13" s="71">
        <f>G13+M13</f>
        <v>0.9</v>
      </c>
      <c r="I13" s="72">
        <f t="shared" si="1"/>
        <v>0.2647058823529412</v>
      </c>
      <c r="J13" s="72">
        <f>IF(F13&gt;0,H13/F13,0)</f>
        <v>0</v>
      </c>
      <c r="K13" s="73">
        <v>0.6</v>
      </c>
      <c r="L13" s="72">
        <f t="shared" si="4"/>
        <v>1.5</v>
      </c>
      <c r="M13" s="73">
        <v>0.5</v>
      </c>
      <c r="N13" s="73">
        <v>0.3</v>
      </c>
      <c r="O13" s="72">
        <f t="shared" si="2"/>
        <v>1.6666666666666667</v>
      </c>
      <c r="P13" s="73"/>
      <c r="Q13" s="73"/>
      <c r="R13" s="73"/>
    </row>
    <row r="14" spans="1:18" ht="18" customHeight="1">
      <c r="A14" s="12" t="s">
        <v>57</v>
      </c>
      <c r="B14" s="12">
        <v>1030225001</v>
      </c>
      <c r="C14" s="73">
        <v>220.1</v>
      </c>
      <c r="D14" s="73"/>
      <c r="E14" s="69">
        <f>C14+D14</f>
        <v>220.1</v>
      </c>
      <c r="F14" s="69"/>
      <c r="G14" s="73">
        <v>32.7</v>
      </c>
      <c r="H14" s="71">
        <f>G14+M14</f>
        <v>79.1</v>
      </c>
      <c r="I14" s="72">
        <f t="shared" si="1"/>
        <v>0.3593820990458882</v>
      </c>
      <c r="J14" s="72">
        <f>IF(F14&gt;0,H14/F14,0)</f>
        <v>0</v>
      </c>
      <c r="K14" s="73">
        <v>52.9</v>
      </c>
      <c r="L14" s="72">
        <f t="shared" si="4"/>
        <v>1.495274102079395</v>
      </c>
      <c r="M14" s="73">
        <v>46.4</v>
      </c>
      <c r="N14" s="73">
        <v>18</v>
      </c>
      <c r="O14" s="72">
        <f t="shared" si="2"/>
        <v>2.5777777777777775</v>
      </c>
      <c r="P14" s="73"/>
      <c r="Q14" s="73"/>
      <c r="R14" s="73"/>
    </row>
    <row r="15" spans="1:18" ht="19.5" customHeight="1">
      <c r="A15" s="12" t="s">
        <v>58</v>
      </c>
      <c r="B15" s="12">
        <v>1030226001</v>
      </c>
      <c r="C15" s="73">
        <v>5.4</v>
      </c>
      <c r="D15" s="73"/>
      <c r="E15" s="69">
        <f>C15+D15</f>
        <v>5.4</v>
      </c>
      <c r="F15" s="69"/>
      <c r="G15" s="73">
        <v>-2.1</v>
      </c>
      <c r="H15" s="71">
        <f>G15+M15</f>
        <v>-2.6</v>
      </c>
      <c r="I15" s="72">
        <f t="shared" si="1"/>
        <v>-0.48148148148148145</v>
      </c>
      <c r="J15" s="72">
        <f>IF(F15&gt;0,H15/F15,0)</f>
        <v>0</v>
      </c>
      <c r="K15" s="73"/>
      <c r="L15" s="72">
        <f t="shared" si="4"/>
        <v>0</v>
      </c>
      <c r="M15" s="73">
        <v>-0.5</v>
      </c>
      <c r="N15" s="73"/>
      <c r="O15" s="72">
        <f t="shared" si="2"/>
        <v>0</v>
      </c>
      <c r="P15" s="73"/>
      <c r="Q15" s="73"/>
      <c r="R15" s="73"/>
    </row>
    <row r="16" spans="1:18" ht="18">
      <c r="A16" s="9" t="s">
        <v>76</v>
      </c>
      <c r="B16" s="30">
        <v>1050000000</v>
      </c>
      <c r="C16" s="74">
        <f aca="true" t="shared" si="7" ref="C16:H16">C17</f>
        <v>9.9</v>
      </c>
      <c r="D16" s="75">
        <f t="shared" si="7"/>
        <v>0</v>
      </c>
      <c r="E16" s="75">
        <f t="shared" si="7"/>
        <v>9.9</v>
      </c>
      <c r="F16" s="75">
        <f t="shared" si="7"/>
        <v>0</v>
      </c>
      <c r="G16" s="74">
        <f>G17</f>
        <v>0</v>
      </c>
      <c r="H16" s="75">
        <f t="shared" si="7"/>
        <v>5.4</v>
      </c>
      <c r="I16" s="92">
        <f t="shared" si="1"/>
        <v>0.5454545454545455</v>
      </c>
      <c r="J16" s="92">
        <f t="shared" si="5"/>
        <v>0</v>
      </c>
      <c r="K16" s="74">
        <f>K17</f>
        <v>0</v>
      </c>
      <c r="L16" s="92">
        <f t="shared" si="4"/>
        <v>0</v>
      </c>
      <c r="M16" s="74">
        <f>M17</f>
        <v>5.4</v>
      </c>
      <c r="N16" s="74">
        <f>N17</f>
        <v>0</v>
      </c>
      <c r="O16" s="92">
        <f t="shared" si="2"/>
        <v>0</v>
      </c>
      <c r="P16" s="74">
        <f>P17</f>
        <v>0</v>
      </c>
      <c r="Q16" s="74">
        <f>Q17</f>
        <v>0</v>
      </c>
      <c r="R16" s="74">
        <f>R17</f>
        <v>16.7</v>
      </c>
    </row>
    <row r="17" spans="1:18" ht="18">
      <c r="A17" s="13" t="s">
        <v>7</v>
      </c>
      <c r="B17" s="13">
        <v>1050300001</v>
      </c>
      <c r="C17" s="73">
        <v>9.9</v>
      </c>
      <c r="D17" s="70"/>
      <c r="E17" s="73">
        <f>C17+D17</f>
        <v>9.9</v>
      </c>
      <c r="F17" s="73"/>
      <c r="G17" s="73"/>
      <c r="H17" s="70">
        <f>G17+M17</f>
        <v>5.4</v>
      </c>
      <c r="I17" s="81">
        <f t="shared" si="1"/>
        <v>0.5454545454545455</v>
      </c>
      <c r="J17" s="81">
        <f t="shared" si="5"/>
        <v>0</v>
      </c>
      <c r="K17" s="73"/>
      <c r="L17" s="81">
        <f t="shared" si="4"/>
        <v>0</v>
      </c>
      <c r="M17" s="73">
        <v>5.4</v>
      </c>
      <c r="N17" s="73"/>
      <c r="O17" s="81">
        <f t="shared" si="2"/>
        <v>0</v>
      </c>
      <c r="P17" s="73"/>
      <c r="Q17" s="73"/>
      <c r="R17" s="73">
        <v>16.7</v>
      </c>
    </row>
    <row r="18" spans="1:18" ht="18">
      <c r="A18" s="9" t="s">
        <v>77</v>
      </c>
      <c r="B18" s="30">
        <v>1060000000</v>
      </c>
      <c r="C18" s="74">
        <f aca="true" t="shared" si="8" ref="C18:H18">C19+C22</f>
        <v>290</v>
      </c>
      <c r="D18" s="75">
        <f t="shared" si="8"/>
        <v>36</v>
      </c>
      <c r="E18" s="75">
        <f t="shared" si="8"/>
        <v>326</v>
      </c>
      <c r="F18" s="75">
        <f t="shared" si="8"/>
        <v>0</v>
      </c>
      <c r="G18" s="74">
        <f>G19+G22</f>
        <v>141.90000000000003</v>
      </c>
      <c r="H18" s="75">
        <f t="shared" si="8"/>
        <v>145.30000000000004</v>
      </c>
      <c r="I18" s="92">
        <f t="shared" si="1"/>
        <v>0.4457055214723928</v>
      </c>
      <c r="J18" s="92">
        <f t="shared" si="5"/>
        <v>0</v>
      </c>
      <c r="K18" s="74">
        <f>K19+K22</f>
        <v>139.9</v>
      </c>
      <c r="L18" s="92">
        <f t="shared" si="4"/>
        <v>1.038598999285204</v>
      </c>
      <c r="M18" s="74">
        <f>M19+M22</f>
        <v>3.4</v>
      </c>
      <c r="N18" s="74">
        <f>N19+N22</f>
        <v>2.2</v>
      </c>
      <c r="O18" s="92">
        <f t="shared" si="2"/>
        <v>1.5454545454545452</v>
      </c>
      <c r="P18" s="74">
        <f>P19+P22</f>
        <v>123.7</v>
      </c>
      <c r="Q18" s="74">
        <f>Q19+Q22</f>
        <v>127</v>
      </c>
      <c r="R18" s="74">
        <f>R19+R22</f>
        <v>123.2</v>
      </c>
    </row>
    <row r="19" spans="1:18" ht="18">
      <c r="A19" s="13" t="s">
        <v>13</v>
      </c>
      <c r="B19" s="13">
        <v>1060600000</v>
      </c>
      <c r="C19" s="73">
        <f aca="true" t="shared" si="9" ref="C19:H19">C20+C21</f>
        <v>191.3</v>
      </c>
      <c r="D19" s="70">
        <f t="shared" si="9"/>
        <v>36</v>
      </c>
      <c r="E19" s="70">
        <f t="shared" si="9"/>
        <v>227.3</v>
      </c>
      <c r="F19" s="70">
        <f t="shared" si="9"/>
        <v>0</v>
      </c>
      <c r="G19" s="73">
        <f>G20+G21</f>
        <v>140.60000000000002</v>
      </c>
      <c r="H19" s="70">
        <f t="shared" si="9"/>
        <v>143.40000000000003</v>
      </c>
      <c r="I19" s="81">
        <f t="shared" si="1"/>
        <v>0.630884293884734</v>
      </c>
      <c r="J19" s="81">
        <f t="shared" si="5"/>
        <v>0</v>
      </c>
      <c r="K19" s="73">
        <f>K20+K21</f>
        <v>137.9</v>
      </c>
      <c r="L19" s="81">
        <f t="shared" si="4"/>
        <v>1.0398839738941263</v>
      </c>
      <c r="M19" s="73">
        <f>M20+M21</f>
        <v>2.8</v>
      </c>
      <c r="N19" s="73">
        <f>N20+N21</f>
        <v>1.6</v>
      </c>
      <c r="O19" s="81">
        <f t="shared" si="2"/>
        <v>1.7499999999999998</v>
      </c>
      <c r="P19" s="73">
        <f>P20+P21</f>
        <v>111.3</v>
      </c>
      <c r="Q19" s="73">
        <f>Q20+Q21</f>
        <v>115.8</v>
      </c>
      <c r="R19" s="73">
        <f>R20+R21</f>
        <v>112.5</v>
      </c>
    </row>
    <row r="20" spans="1:18" ht="18">
      <c r="A20" s="13" t="s">
        <v>14</v>
      </c>
      <c r="B20" s="13">
        <v>1060603310</v>
      </c>
      <c r="C20" s="73">
        <v>149.3</v>
      </c>
      <c r="D20" s="70">
        <f>36</f>
        <v>36</v>
      </c>
      <c r="E20" s="73">
        <f>C20+D20</f>
        <v>185.3</v>
      </c>
      <c r="F20" s="73"/>
      <c r="G20" s="73">
        <v>131.8</v>
      </c>
      <c r="H20" s="70">
        <f>G20+M20</f>
        <v>134.60000000000002</v>
      </c>
      <c r="I20" s="81">
        <f t="shared" si="1"/>
        <v>0.7263896384241771</v>
      </c>
      <c r="J20" s="81">
        <f t="shared" si="5"/>
        <v>0</v>
      </c>
      <c r="K20" s="73">
        <v>134.9</v>
      </c>
      <c r="L20" s="81">
        <f t="shared" si="4"/>
        <v>0.9977761304670127</v>
      </c>
      <c r="M20" s="73">
        <v>2.8</v>
      </c>
      <c r="N20" s="73">
        <v>1</v>
      </c>
      <c r="O20" s="81">
        <f t="shared" si="2"/>
        <v>2.8</v>
      </c>
      <c r="P20" s="73">
        <v>97.7</v>
      </c>
      <c r="Q20" s="73">
        <v>20.3</v>
      </c>
      <c r="R20" s="73">
        <v>17.8</v>
      </c>
    </row>
    <row r="21" spans="1:18" ht="18">
      <c r="A21" s="13" t="s">
        <v>14</v>
      </c>
      <c r="B21" s="13">
        <v>1060604310</v>
      </c>
      <c r="C21" s="73">
        <v>42</v>
      </c>
      <c r="D21" s="70"/>
      <c r="E21" s="73">
        <f>C21+D21</f>
        <v>42</v>
      </c>
      <c r="F21" s="73"/>
      <c r="G21" s="73">
        <v>8.8</v>
      </c>
      <c r="H21" s="70">
        <f>G21+M21</f>
        <v>8.8</v>
      </c>
      <c r="I21" s="81">
        <f t="shared" si="1"/>
        <v>0.20952380952380953</v>
      </c>
      <c r="J21" s="81">
        <f t="shared" si="5"/>
        <v>0</v>
      </c>
      <c r="K21" s="73">
        <v>3</v>
      </c>
      <c r="L21" s="81">
        <f t="shared" si="4"/>
        <v>2.9333333333333336</v>
      </c>
      <c r="M21" s="73"/>
      <c r="N21" s="73">
        <v>0.6</v>
      </c>
      <c r="O21" s="81">
        <f t="shared" si="2"/>
        <v>0</v>
      </c>
      <c r="P21" s="73">
        <v>13.6</v>
      </c>
      <c r="Q21" s="73">
        <v>95.5</v>
      </c>
      <c r="R21" s="73">
        <v>94.7</v>
      </c>
    </row>
    <row r="22" spans="1:18" ht="18">
      <c r="A22" s="13" t="s">
        <v>12</v>
      </c>
      <c r="B22" s="13">
        <v>1060103010</v>
      </c>
      <c r="C22" s="73">
        <v>98.7</v>
      </c>
      <c r="D22" s="70"/>
      <c r="E22" s="73">
        <f>C22+D22</f>
        <v>98.7</v>
      </c>
      <c r="F22" s="73"/>
      <c r="G22" s="73">
        <v>1.3</v>
      </c>
      <c r="H22" s="70">
        <f>G22+M22</f>
        <v>1.9</v>
      </c>
      <c r="I22" s="81">
        <f t="shared" si="1"/>
        <v>0.019250253292806482</v>
      </c>
      <c r="J22" s="81">
        <f t="shared" si="5"/>
        <v>0</v>
      </c>
      <c r="K22" s="73">
        <v>2</v>
      </c>
      <c r="L22" s="81">
        <f t="shared" si="4"/>
        <v>0.95</v>
      </c>
      <c r="M22" s="73">
        <v>0.6</v>
      </c>
      <c r="N22" s="73">
        <v>0.6</v>
      </c>
      <c r="O22" s="81">
        <f t="shared" si="2"/>
        <v>1</v>
      </c>
      <c r="P22" s="73">
        <v>12.4</v>
      </c>
      <c r="Q22" s="73">
        <v>11.2</v>
      </c>
      <c r="R22" s="73">
        <v>10.7</v>
      </c>
    </row>
    <row r="23" spans="1:18" ht="18">
      <c r="A23" s="9" t="s">
        <v>78</v>
      </c>
      <c r="B23" s="30">
        <v>1080402001</v>
      </c>
      <c r="C23" s="74">
        <v>5</v>
      </c>
      <c r="D23" s="75"/>
      <c r="E23" s="74">
        <f>C23+D23</f>
        <v>5</v>
      </c>
      <c r="F23" s="74"/>
      <c r="G23" s="74">
        <v>1.8</v>
      </c>
      <c r="H23" s="75">
        <f>G23+M23</f>
        <v>2.7</v>
      </c>
      <c r="I23" s="92">
        <f t="shared" si="1"/>
        <v>0.54</v>
      </c>
      <c r="J23" s="92">
        <f t="shared" si="5"/>
        <v>0</v>
      </c>
      <c r="K23" s="74">
        <v>5.2</v>
      </c>
      <c r="L23" s="92">
        <f t="shared" si="4"/>
        <v>0.5192307692307693</v>
      </c>
      <c r="M23" s="74">
        <v>0.9</v>
      </c>
      <c r="N23" s="74">
        <v>1.6</v>
      </c>
      <c r="O23" s="92">
        <f t="shared" si="2"/>
        <v>0.5625</v>
      </c>
      <c r="P23" s="74"/>
      <c r="Q23" s="74"/>
      <c r="R23" s="74"/>
    </row>
    <row r="24" spans="1:18" ht="18">
      <c r="A24" s="9" t="s">
        <v>79</v>
      </c>
      <c r="B24" s="30">
        <v>1090405010</v>
      </c>
      <c r="C24" s="74"/>
      <c r="D24" s="74"/>
      <c r="E24" s="74">
        <f>C24+D24</f>
        <v>0</v>
      </c>
      <c r="F24" s="74"/>
      <c r="G24" s="74"/>
      <c r="H24" s="75">
        <f>G24+M24</f>
        <v>0</v>
      </c>
      <c r="I24" s="92">
        <f t="shared" si="1"/>
        <v>0</v>
      </c>
      <c r="J24" s="92">
        <f t="shared" si="5"/>
        <v>0</v>
      </c>
      <c r="K24" s="74"/>
      <c r="L24" s="92">
        <f t="shared" si="4"/>
        <v>0</v>
      </c>
      <c r="M24" s="74"/>
      <c r="N24" s="74"/>
      <c r="O24" s="92">
        <f t="shared" si="2"/>
        <v>0</v>
      </c>
      <c r="P24" s="74"/>
      <c r="Q24" s="74"/>
      <c r="R24" s="74"/>
    </row>
    <row r="25" spans="1:18" ht="18">
      <c r="A25" s="32" t="s">
        <v>24</v>
      </c>
      <c r="B25" s="32"/>
      <c r="C25" s="91">
        <f aca="true" t="shared" si="10" ref="C25:H25">C26+C29+C33+C30+C32+C31</f>
        <v>240</v>
      </c>
      <c r="D25" s="91">
        <f t="shared" si="10"/>
        <v>0</v>
      </c>
      <c r="E25" s="91">
        <f t="shared" si="10"/>
        <v>240</v>
      </c>
      <c r="F25" s="91">
        <f t="shared" si="10"/>
        <v>0</v>
      </c>
      <c r="G25" s="91">
        <f>G26+G29+G33+G30+G32+G31</f>
        <v>10.2</v>
      </c>
      <c r="H25" s="91">
        <f t="shared" si="10"/>
        <v>44.599999999999994</v>
      </c>
      <c r="I25" s="96">
        <f t="shared" si="1"/>
        <v>0.18583333333333332</v>
      </c>
      <c r="J25" s="96">
        <f t="shared" si="5"/>
        <v>0</v>
      </c>
      <c r="K25" s="91">
        <f>K26+K29+K33+K30+K32+K31</f>
        <v>36</v>
      </c>
      <c r="L25" s="96">
        <f t="shared" si="4"/>
        <v>1.2388888888888887</v>
      </c>
      <c r="M25" s="91">
        <f>M26+M29+M33+M30+M32+M31</f>
        <v>34.4</v>
      </c>
      <c r="N25" s="91">
        <f>N26+N29+N33+N30+N32+N31</f>
        <v>18</v>
      </c>
      <c r="O25" s="96">
        <f t="shared" si="2"/>
        <v>1.911111111111111</v>
      </c>
      <c r="P25" s="78">
        <f>P26+P29+P33+P30</f>
        <v>0</v>
      </c>
      <c r="Q25" s="78">
        <f>Q26+Q29+Q33+Q30</f>
        <v>0</v>
      </c>
      <c r="R25" s="78">
        <f>R26+R29+R33+R30</f>
        <v>0</v>
      </c>
    </row>
    <row r="26" spans="1:18" ht="18">
      <c r="A26" s="9" t="s">
        <v>80</v>
      </c>
      <c r="B26" s="30">
        <v>1110000000</v>
      </c>
      <c r="C26" s="74">
        <f aca="true" t="shared" si="11" ref="C26:H26">C27+C28</f>
        <v>80</v>
      </c>
      <c r="D26" s="74">
        <f t="shared" si="11"/>
        <v>0</v>
      </c>
      <c r="E26" s="74">
        <f t="shared" si="11"/>
        <v>80</v>
      </c>
      <c r="F26" s="74">
        <f t="shared" si="11"/>
        <v>0</v>
      </c>
      <c r="G26" s="74">
        <f>G27+G28</f>
        <v>3.2</v>
      </c>
      <c r="H26" s="74">
        <f t="shared" si="11"/>
        <v>11.8</v>
      </c>
      <c r="I26" s="92">
        <f t="shared" si="1"/>
        <v>0.14750000000000002</v>
      </c>
      <c r="J26" s="92">
        <f t="shared" si="5"/>
        <v>0</v>
      </c>
      <c r="K26" s="74">
        <f>K27+K28</f>
        <v>26.3</v>
      </c>
      <c r="L26" s="92">
        <f t="shared" si="4"/>
        <v>0.44866920152091255</v>
      </c>
      <c r="M26" s="74">
        <f>M27+M28</f>
        <v>8.6</v>
      </c>
      <c r="N26" s="74">
        <f>N27+N28</f>
        <v>14.5</v>
      </c>
      <c r="O26" s="92">
        <f t="shared" si="2"/>
        <v>0.593103448275862</v>
      </c>
      <c r="P26" s="74">
        <f>P27+P28</f>
        <v>0</v>
      </c>
      <c r="Q26" s="74">
        <f>Q27+Q28</f>
        <v>0</v>
      </c>
      <c r="R26" s="74">
        <f>R27+R28</f>
        <v>0</v>
      </c>
    </row>
    <row r="27" spans="1:18" ht="18">
      <c r="A27" s="13" t="s">
        <v>28</v>
      </c>
      <c r="B27" s="13">
        <v>1110501013</v>
      </c>
      <c r="C27" s="73"/>
      <c r="D27" s="70"/>
      <c r="E27" s="73">
        <f aca="true" t="shared" si="12" ref="E27:E32">C27+D27</f>
        <v>0</v>
      </c>
      <c r="F27" s="73"/>
      <c r="G27" s="73"/>
      <c r="H27" s="70">
        <f aca="true" t="shared" si="13" ref="H27:H32">G27+M27</f>
        <v>0</v>
      </c>
      <c r="I27" s="81">
        <f t="shared" si="1"/>
        <v>0</v>
      </c>
      <c r="J27" s="81">
        <f t="shared" si="5"/>
        <v>0</v>
      </c>
      <c r="K27" s="73">
        <v>0.1</v>
      </c>
      <c r="L27" s="81">
        <f t="shared" si="4"/>
        <v>0</v>
      </c>
      <c r="M27" s="73"/>
      <c r="N27" s="73">
        <v>0.1</v>
      </c>
      <c r="O27" s="81">
        <f t="shared" si="2"/>
        <v>0</v>
      </c>
      <c r="P27" s="73"/>
      <c r="Q27" s="73"/>
      <c r="R27" s="73"/>
    </row>
    <row r="28" spans="1:18" ht="18">
      <c r="A28" s="33" t="s">
        <v>25</v>
      </c>
      <c r="B28" s="13">
        <v>1110904510</v>
      </c>
      <c r="C28" s="73">
        <v>80</v>
      </c>
      <c r="D28" s="70"/>
      <c r="E28" s="73">
        <f t="shared" si="12"/>
        <v>80</v>
      </c>
      <c r="F28" s="73"/>
      <c r="G28" s="73">
        <v>3.2</v>
      </c>
      <c r="H28" s="70">
        <f t="shared" si="13"/>
        <v>11.8</v>
      </c>
      <c r="I28" s="81">
        <f t="shared" si="1"/>
        <v>0.14750000000000002</v>
      </c>
      <c r="J28" s="81">
        <f t="shared" si="5"/>
        <v>0</v>
      </c>
      <c r="K28" s="73">
        <v>26.2</v>
      </c>
      <c r="L28" s="81">
        <f t="shared" si="4"/>
        <v>0.450381679389313</v>
      </c>
      <c r="M28" s="73">
        <v>8.6</v>
      </c>
      <c r="N28" s="73">
        <v>14.4</v>
      </c>
      <c r="O28" s="81">
        <f t="shared" si="2"/>
        <v>0.5972222222222222</v>
      </c>
      <c r="P28" s="73"/>
      <c r="Q28" s="73"/>
      <c r="R28" s="73"/>
    </row>
    <row r="29" spans="1:18" ht="18">
      <c r="A29" s="9" t="s">
        <v>42</v>
      </c>
      <c r="B29" s="30">
        <v>1130299510</v>
      </c>
      <c r="C29" s="74">
        <v>160</v>
      </c>
      <c r="D29" s="74"/>
      <c r="E29" s="74">
        <f t="shared" si="12"/>
        <v>160</v>
      </c>
      <c r="F29" s="74"/>
      <c r="G29" s="74">
        <v>7</v>
      </c>
      <c r="H29" s="75">
        <f t="shared" si="13"/>
        <v>29.5</v>
      </c>
      <c r="I29" s="92">
        <f t="shared" si="1"/>
        <v>0.184375</v>
      </c>
      <c r="J29" s="92">
        <f t="shared" si="5"/>
        <v>0</v>
      </c>
      <c r="K29" s="74">
        <v>4</v>
      </c>
      <c r="L29" s="92">
        <f t="shared" si="4"/>
        <v>7.375</v>
      </c>
      <c r="M29" s="74">
        <v>22.5</v>
      </c>
      <c r="N29" s="74">
        <v>3.5</v>
      </c>
      <c r="O29" s="92">
        <f t="shared" si="2"/>
        <v>6.428571428571429</v>
      </c>
      <c r="P29" s="74"/>
      <c r="Q29" s="74"/>
      <c r="R29" s="74"/>
    </row>
    <row r="30" spans="1:18" ht="18">
      <c r="A30" s="9" t="s">
        <v>82</v>
      </c>
      <c r="B30" s="30">
        <v>1140601410</v>
      </c>
      <c r="C30" s="74"/>
      <c r="D30" s="74"/>
      <c r="E30" s="74">
        <f t="shared" si="12"/>
        <v>0</v>
      </c>
      <c r="F30" s="74"/>
      <c r="G30" s="74"/>
      <c r="H30" s="75">
        <f t="shared" si="13"/>
        <v>0</v>
      </c>
      <c r="I30" s="92">
        <f>IF(E30&gt;0,H30/E30,0)</f>
        <v>0</v>
      </c>
      <c r="J30" s="92">
        <f>IF(F30&gt;0,H30/F30,0)</f>
        <v>0</v>
      </c>
      <c r="K30" s="74">
        <v>5.7</v>
      </c>
      <c r="L30" s="92">
        <f t="shared" si="4"/>
        <v>0</v>
      </c>
      <c r="M30" s="74"/>
      <c r="N30" s="74"/>
      <c r="O30" s="92">
        <f t="shared" si="2"/>
        <v>0</v>
      </c>
      <c r="P30" s="74"/>
      <c r="Q30" s="74"/>
      <c r="R30" s="74"/>
    </row>
    <row r="31" spans="1:18" ht="18">
      <c r="A31" s="9" t="s">
        <v>81</v>
      </c>
      <c r="B31" s="30">
        <v>1140205310</v>
      </c>
      <c r="C31" s="74"/>
      <c r="D31" s="74"/>
      <c r="E31" s="74">
        <f t="shared" si="12"/>
        <v>0</v>
      </c>
      <c r="F31" s="74"/>
      <c r="G31" s="74"/>
      <c r="H31" s="75">
        <f t="shared" si="13"/>
        <v>0</v>
      </c>
      <c r="I31" s="92">
        <f>IF(E31&gt;0,H31/E31,0)</f>
        <v>0</v>
      </c>
      <c r="J31" s="92">
        <f>IF(F31&gt;0,H31/F31,0)</f>
        <v>0</v>
      </c>
      <c r="K31" s="80"/>
      <c r="L31" s="92">
        <f t="shared" si="4"/>
        <v>0</v>
      </c>
      <c r="M31" s="74"/>
      <c r="N31" s="74"/>
      <c r="O31" s="92">
        <f t="shared" si="2"/>
        <v>0</v>
      </c>
      <c r="P31" s="74"/>
      <c r="Q31" s="74"/>
      <c r="R31" s="74"/>
    </row>
    <row r="32" spans="1:18" ht="18">
      <c r="A32" s="9" t="s">
        <v>85</v>
      </c>
      <c r="B32" s="30">
        <v>1169005010</v>
      </c>
      <c r="C32" s="74"/>
      <c r="D32" s="74"/>
      <c r="E32" s="74">
        <f t="shared" si="12"/>
        <v>0</v>
      </c>
      <c r="F32" s="74"/>
      <c r="G32" s="74"/>
      <c r="H32" s="75">
        <f t="shared" si="13"/>
        <v>0</v>
      </c>
      <c r="I32" s="92">
        <f>IF(E32&gt;0,H32/E32,0)</f>
        <v>0</v>
      </c>
      <c r="J32" s="92">
        <f>IF(F32&gt;0,H32/F32,0)</f>
        <v>0</v>
      </c>
      <c r="K32" s="80"/>
      <c r="L32" s="92">
        <f t="shared" si="4"/>
        <v>0</v>
      </c>
      <c r="M32" s="74"/>
      <c r="N32" s="74"/>
      <c r="O32" s="92">
        <f t="shared" si="2"/>
        <v>0</v>
      </c>
      <c r="P32" s="74"/>
      <c r="Q32" s="74"/>
      <c r="R32" s="74"/>
    </row>
    <row r="33" spans="1:18" ht="18">
      <c r="A33" s="9" t="s">
        <v>75</v>
      </c>
      <c r="B33" s="30">
        <v>1170000000</v>
      </c>
      <c r="C33" s="74">
        <f>SUM(C34:C35)</f>
        <v>0</v>
      </c>
      <c r="D33" s="74">
        <f aca="true" t="shared" si="14" ref="D33:R33">SUM(D34:D35)</f>
        <v>0</v>
      </c>
      <c r="E33" s="74">
        <f t="shared" si="14"/>
        <v>0</v>
      </c>
      <c r="F33" s="74">
        <f t="shared" si="14"/>
        <v>0</v>
      </c>
      <c r="G33" s="74">
        <f>SUM(G34:G35)</f>
        <v>0</v>
      </c>
      <c r="H33" s="74">
        <f t="shared" si="14"/>
        <v>3.3</v>
      </c>
      <c r="I33" s="92">
        <f>IF(E33&gt;0,H33/E33,0)</f>
        <v>0</v>
      </c>
      <c r="J33" s="92">
        <f>IF(F33&gt;0,H33/F33,0)</f>
        <v>0</v>
      </c>
      <c r="K33" s="74">
        <f>SUM(K34:K35)</f>
        <v>0</v>
      </c>
      <c r="L33" s="92">
        <f t="shared" si="4"/>
        <v>0</v>
      </c>
      <c r="M33" s="74">
        <f t="shared" si="14"/>
        <v>3.3</v>
      </c>
      <c r="N33" s="74">
        <f>SUM(N34:N35)</f>
        <v>0</v>
      </c>
      <c r="O33" s="92">
        <f t="shared" si="2"/>
        <v>0</v>
      </c>
      <c r="P33" s="74">
        <f t="shared" si="14"/>
        <v>0</v>
      </c>
      <c r="Q33" s="74">
        <f>SUM(Q34:Q35)</f>
        <v>0</v>
      </c>
      <c r="R33" s="74">
        <f t="shared" si="14"/>
        <v>0</v>
      </c>
    </row>
    <row r="34" spans="1:18" ht="18">
      <c r="A34" s="13" t="s">
        <v>8</v>
      </c>
      <c r="B34" s="13">
        <v>1170103003</v>
      </c>
      <c r="C34" s="73"/>
      <c r="D34" s="73"/>
      <c r="E34" s="73">
        <f>C34+D34</f>
        <v>0</v>
      </c>
      <c r="F34" s="73"/>
      <c r="G34" s="73"/>
      <c r="H34" s="70">
        <f>G34+M34</f>
        <v>3.3</v>
      </c>
      <c r="I34" s="81">
        <f t="shared" si="1"/>
        <v>0</v>
      </c>
      <c r="J34" s="81">
        <f t="shared" si="5"/>
        <v>0</v>
      </c>
      <c r="K34" s="79"/>
      <c r="L34" s="81">
        <f t="shared" si="4"/>
        <v>0</v>
      </c>
      <c r="M34" s="73">
        <v>3.3</v>
      </c>
      <c r="N34" s="73"/>
      <c r="O34" s="81">
        <f t="shared" si="2"/>
        <v>0</v>
      </c>
      <c r="P34" s="81"/>
      <c r="Q34" s="81"/>
      <c r="R34" s="81"/>
    </row>
    <row r="35" spans="1:18" ht="18">
      <c r="A35" s="13" t="s">
        <v>37</v>
      </c>
      <c r="B35" s="13">
        <v>1170505010</v>
      </c>
      <c r="C35" s="73"/>
      <c r="D35" s="70"/>
      <c r="E35" s="73">
        <f>C35+D35</f>
        <v>0</v>
      </c>
      <c r="F35" s="73"/>
      <c r="G35" s="73"/>
      <c r="H35" s="70">
        <f>G35+M35</f>
        <v>0</v>
      </c>
      <c r="I35" s="81">
        <f>IF(E35&gt;0,H35/E35,0)</f>
        <v>0</v>
      </c>
      <c r="J35" s="81">
        <f>IF(F35&gt;0,H35/F35,0)</f>
        <v>0</v>
      </c>
      <c r="K35" s="79"/>
      <c r="L35" s="81">
        <f>IF(K35&gt;0,H35/K35,0)</f>
        <v>0</v>
      </c>
      <c r="M35" s="73"/>
      <c r="N35" s="79"/>
      <c r="O35" s="81">
        <f>IF(N35&gt;0,M35/N35,0)</f>
        <v>0</v>
      </c>
      <c r="P35" s="73"/>
      <c r="Q35" s="73"/>
      <c r="R35" s="73"/>
    </row>
    <row r="36" spans="1:18" ht="18">
      <c r="A36" s="9" t="s">
        <v>6</v>
      </c>
      <c r="B36" s="9">
        <v>1000000000</v>
      </c>
      <c r="C36" s="83">
        <f aca="true" t="shared" si="15" ref="C36:H36">C5+C25</f>
        <v>1573</v>
      </c>
      <c r="D36" s="83">
        <f t="shared" si="15"/>
        <v>36</v>
      </c>
      <c r="E36" s="83">
        <f t="shared" si="15"/>
        <v>1609</v>
      </c>
      <c r="F36" s="83">
        <f t="shared" si="15"/>
        <v>0</v>
      </c>
      <c r="G36" s="83">
        <f>G5+G25</f>
        <v>292.70000000000005</v>
      </c>
      <c r="H36" s="83">
        <f t="shared" si="15"/>
        <v>466.29999999999995</v>
      </c>
      <c r="I36" s="97">
        <f t="shared" si="1"/>
        <v>0.2898073337476693</v>
      </c>
      <c r="J36" s="97">
        <f t="shared" si="5"/>
        <v>0</v>
      </c>
      <c r="K36" s="83">
        <f>K5+K25</f>
        <v>390.8</v>
      </c>
      <c r="L36" s="97">
        <f t="shared" si="4"/>
        <v>1.1931934493346978</v>
      </c>
      <c r="M36" s="83">
        <f>M5+M25</f>
        <v>173.60000000000002</v>
      </c>
      <c r="N36" s="83">
        <f>N5+N25</f>
        <v>99.7</v>
      </c>
      <c r="O36" s="97">
        <f t="shared" si="2"/>
        <v>1.7412236710130393</v>
      </c>
      <c r="P36" s="83">
        <f>P5+P25</f>
        <v>140.6</v>
      </c>
      <c r="Q36" s="83">
        <f>Q5+Q25</f>
        <v>143.9</v>
      </c>
      <c r="R36" s="83">
        <f>R5+R25</f>
        <v>156.8</v>
      </c>
    </row>
    <row r="37" spans="1:18" ht="18">
      <c r="A37" s="9" t="s">
        <v>98</v>
      </c>
      <c r="B37" s="9"/>
      <c r="C37" s="83">
        <f aca="true" t="shared" si="16" ref="C37:H37">C36-C11</f>
        <v>1245.9</v>
      </c>
      <c r="D37" s="83">
        <f t="shared" si="16"/>
        <v>36</v>
      </c>
      <c r="E37" s="83">
        <f t="shared" si="16"/>
        <v>1281.9</v>
      </c>
      <c r="F37" s="83">
        <f t="shared" si="16"/>
        <v>0</v>
      </c>
      <c r="G37" s="83">
        <f>G36-G11</f>
        <v>242.90000000000003</v>
      </c>
      <c r="H37" s="83">
        <f t="shared" si="16"/>
        <v>349.29999999999995</v>
      </c>
      <c r="I37" s="97">
        <f>IF(E37&gt;0,H37/E37,0)</f>
        <v>0.27248615336609716</v>
      </c>
      <c r="J37" s="97">
        <f>IF(F37&gt;0,H37/F37,0)</f>
        <v>0</v>
      </c>
      <c r="K37" s="83">
        <f>K36-K11</f>
        <v>302.3</v>
      </c>
      <c r="L37" s="97">
        <f t="shared" si="4"/>
        <v>1.1554746940125702</v>
      </c>
      <c r="M37" s="83">
        <f>M36-M11</f>
        <v>106.40000000000002</v>
      </c>
      <c r="N37" s="83">
        <f>N36-N11</f>
        <v>68.80000000000001</v>
      </c>
      <c r="O37" s="97">
        <f t="shared" si="2"/>
        <v>1.5465116279069768</v>
      </c>
      <c r="P37" s="83"/>
      <c r="Q37" s="83"/>
      <c r="R37" s="83"/>
    </row>
    <row r="38" spans="1:18" ht="18">
      <c r="A38" s="13" t="s">
        <v>27</v>
      </c>
      <c r="B38" s="13">
        <v>2000000000</v>
      </c>
      <c r="C38" s="73">
        <v>980.2</v>
      </c>
      <c r="D38" s="88"/>
      <c r="E38" s="70">
        <f>C38+D38</f>
        <v>980.2</v>
      </c>
      <c r="F38" s="73"/>
      <c r="G38" s="73">
        <v>67.5</v>
      </c>
      <c r="H38" s="70">
        <f>G38+M38</f>
        <v>111</v>
      </c>
      <c r="I38" s="81">
        <f t="shared" si="1"/>
        <v>0.11324219547031218</v>
      </c>
      <c r="J38" s="81">
        <f t="shared" si="5"/>
        <v>0</v>
      </c>
      <c r="K38" s="94">
        <v>240.1</v>
      </c>
      <c r="L38" s="81">
        <f t="shared" si="4"/>
        <v>0.4623073719283632</v>
      </c>
      <c r="M38" s="73">
        <v>43.5</v>
      </c>
      <c r="N38" s="73">
        <v>26.2</v>
      </c>
      <c r="O38" s="81">
        <f t="shared" si="2"/>
        <v>1.6603053435114505</v>
      </c>
      <c r="P38" s="73"/>
      <c r="Q38" s="73"/>
      <c r="R38" s="73"/>
    </row>
    <row r="39" spans="1:18" ht="18">
      <c r="A39" s="13" t="s">
        <v>51</v>
      </c>
      <c r="B39" s="34" t="s">
        <v>41</v>
      </c>
      <c r="C39" s="73"/>
      <c r="D39" s="86"/>
      <c r="E39" s="73">
        <f>C39+D39</f>
        <v>0</v>
      </c>
      <c r="F39" s="73"/>
      <c r="G39" s="73"/>
      <c r="H39" s="70">
        <f>G39+M39</f>
        <v>0</v>
      </c>
      <c r="I39" s="81">
        <f>IF(E39&gt;0,H39/E39,0)</f>
        <v>0</v>
      </c>
      <c r="J39" s="81">
        <f>IF(F39&gt;0,H39/F39,0)</f>
        <v>0</v>
      </c>
      <c r="K39" s="94">
        <v>40</v>
      </c>
      <c r="L39" s="81"/>
      <c r="M39" s="73"/>
      <c r="N39" s="73">
        <v>40</v>
      </c>
      <c r="O39" s="81">
        <f t="shared" si="2"/>
        <v>0</v>
      </c>
      <c r="P39" s="73"/>
      <c r="Q39" s="73"/>
      <c r="R39" s="73"/>
    </row>
    <row r="40" spans="1:18" ht="18">
      <c r="A40" s="9" t="s">
        <v>2</v>
      </c>
      <c r="B40" s="9">
        <v>0</v>
      </c>
      <c r="C40" s="83">
        <f aca="true" t="shared" si="17" ref="C40:H40">C36+C38+C39</f>
        <v>2553.2</v>
      </c>
      <c r="D40" s="83">
        <f t="shared" si="17"/>
        <v>36</v>
      </c>
      <c r="E40" s="83">
        <f t="shared" si="17"/>
        <v>2589.2</v>
      </c>
      <c r="F40" s="83">
        <f t="shared" si="17"/>
        <v>0</v>
      </c>
      <c r="G40" s="83">
        <f t="shared" si="17"/>
        <v>360.20000000000005</v>
      </c>
      <c r="H40" s="83">
        <f t="shared" si="17"/>
        <v>577.3</v>
      </c>
      <c r="I40" s="97">
        <f t="shared" si="1"/>
        <v>0.22296462227715125</v>
      </c>
      <c r="J40" s="97"/>
      <c r="K40" s="83">
        <f>K36+K38+K39</f>
        <v>670.9</v>
      </c>
      <c r="L40" s="97">
        <f t="shared" si="4"/>
        <v>0.8604859144432851</v>
      </c>
      <c r="M40" s="83">
        <f>M36+M38+M39</f>
        <v>217.10000000000002</v>
      </c>
      <c r="N40" s="83">
        <f>N36+N38+N39</f>
        <v>165.9</v>
      </c>
      <c r="O40" s="97">
        <f t="shared" si="2"/>
        <v>1.3086196503918024</v>
      </c>
      <c r="P40" s="98">
        <f>P36+P38</f>
        <v>140.6</v>
      </c>
      <c r="Q40" s="83">
        <f>Q36+Q38</f>
        <v>143.9</v>
      </c>
      <c r="R40" s="83">
        <f>R36+R38</f>
        <v>156.8</v>
      </c>
    </row>
  </sheetData>
  <sheetProtection/>
  <mergeCells count="15">
    <mergeCell ref="A3:A4"/>
    <mergeCell ref="B3:B4"/>
    <mergeCell ref="C3:C4"/>
    <mergeCell ref="E3:E4"/>
    <mergeCell ref="P3:R3"/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7" sqref="R7:R22"/>
    </sheetView>
  </sheetViews>
  <sheetFormatPr defaultColWidth="9.00390625" defaultRowHeight="12.75"/>
  <cols>
    <col min="1" max="1" width="37.875" style="0" customWidth="1"/>
    <col min="2" max="2" width="15.125" style="0" customWidth="1"/>
    <col min="3" max="3" width="10.875" style="0" customWidth="1"/>
    <col min="4" max="5" width="11.375" style="0" customWidth="1"/>
    <col min="6" max="6" width="0.12890625" style="0" hidden="1" customWidth="1"/>
    <col min="7" max="7" width="10.75390625" style="0" customWidth="1"/>
    <col min="8" max="8" width="11.375" style="0" customWidth="1"/>
    <col min="9" max="9" width="11.75390625" style="0" customWidth="1"/>
    <col min="10" max="10" width="10.75390625" style="0" hidden="1" customWidth="1"/>
    <col min="11" max="11" width="10.875" style="0" customWidth="1"/>
    <col min="12" max="12" width="12.00390625" style="0" customWidth="1"/>
    <col min="13" max="13" width="10.00390625" style="0" customWidth="1"/>
    <col min="14" max="14" width="9.875" style="0" customWidth="1"/>
    <col min="15" max="15" width="10.875" style="0" customWidth="1"/>
    <col min="16" max="16" width="10.75390625" style="0" customWidth="1"/>
    <col min="17" max="17" width="10.125" style="0" customWidth="1"/>
  </cols>
  <sheetData>
    <row r="1" spans="1:18" ht="15.75">
      <c r="A1" s="26"/>
      <c r="B1" s="48"/>
      <c r="C1" s="143" t="s">
        <v>11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49"/>
      <c r="O1" s="49"/>
      <c r="P1" s="26"/>
      <c r="Q1" s="26"/>
      <c r="R1" s="26"/>
    </row>
    <row r="2" spans="1:18" ht="15.75">
      <c r="A2" s="26"/>
      <c r="B2" s="148" t="s">
        <v>119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18" ht="13.5" customHeight="1">
      <c r="A3" s="136" t="s">
        <v>3</v>
      </c>
      <c r="B3" s="136" t="s">
        <v>4</v>
      </c>
      <c r="C3" s="136" t="s">
        <v>102</v>
      </c>
      <c r="D3" s="141" t="s">
        <v>26</v>
      </c>
      <c r="E3" s="141" t="s">
        <v>103</v>
      </c>
      <c r="F3" s="136" t="s">
        <v>105</v>
      </c>
      <c r="G3" s="136" t="s">
        <v>106</v>
      </c>
      <c r="H3" s="136" t="s">
        <v>104</v>
      </c>
      <c r="I3" s="136"/>
      <c r="J3" s="136"/>
      <c r="K3" s="136" t="s">
        <v>53</v>
      </c>
      <c r="L3" s="136"/>
      <c r="M3" s="136" t="s">
        <v>108</v>
      </c>
      <c r="N3" s="136" t="s">
        <v>109</v>
      </c>
      <c r="O3" s="138" t="s">
        <v>20</v>
      </c>
      <c r="P3" s="138" t="s">
        <v>9</v>
      </c>
      <c r="Q3" s="138"/>
      <c r="R3" s="138"/>
    </row>
    <row r="4" spans="1:18" ht="104.25" customHeight="1">
      <c r="A4" s="147"/>
      <c r="B4" s="147"/>
      <c r="C4" s="136"/>
      <c r="D4" s="142"/>
      <c r="E4" s="141"/>
      <c r="F4" s="136"/>
      <c r="G4" s="136"/>
      <c r="H4" s="47" t="s">
        <v>107</v>
      </c>
      <c r="I4" s="47" t="s">
        <v>10</v>
      </c>
      <c r="J4" s="47" t="s">
        <v>31</v>
      </c>
      <c r="K4" s="47" t="s">
        <v>107</v>
      </c>
      <c r="L4" s="47" t="s">
        <v>32</v>
      </c>
      <c r="M4" s="136"/>
      <c r="N4" s="136"/>
      <c r="O4" s="138"/>
      <c r="P4" s="129" t="s">
        <v>101</v>
      </c>
      <c r="Q4" s="129" t="s">
        <v>110</v>
      </c>
      <c r="R4" s="129" t="s">
        <v>113</v>
      </c>
    </row>
    <row r="5" spans="1:18" ht="20.25" customHeight="1">
      <c r="A5" s="29" t="s">
        <v>23</v>
      </c>
      <c r="B5" s="29"/>
      <c r="C5" s="95">
        <f aca="true" t="shared" si="0" ref="C5:H5">C6+C16+C18+C23+C24+C11</f>
        <v>677.0999999999999</v>
      </c>
      <c r="D5" s="95">
        <f t="shared" si="0"/>
        <v>0</v>
      </c>
      <c r="E5" s="95">
        <f t="shared" si="0"/>
        <v>677.0999999999999</v>
      </c>
      <c r="F5" s="95">
        <f t="shared" si="0"/>
        <v>0</v>
      </c>
      <c r="G5" s="95">
        <f t="shared" si="0"/>
        <v>96.5</v>
      </c>
      <c r="H5" s="95">
        <f t="shared" si="0"/>
        <v>192.7</v>
      </c>
      <c r="I5" s="96">
        <f aca="true" t="shared" si="1" ref="I5:I40">IF(E5&gt;0,H5/E5,0)</f>
        <v>0.2845960714813174</v>
      </c>
      <c r="J5" s="96">
        <f>IF(F5&gt;0,H5/F5,0)</f>
        <v>0</v>
      </c>
      <c r="K5" s="95">
        <f>K6+K16+K18+K23+K24+K11</f>
        <v>182.79999999999998</v>
      </c>
      <c r="L5" s="96">
        <f>IF(K5&gt;0,H5/K5,0)</f>
        <v>1.0541575492341357</v>
      </c>
      <c r="M5" s="95">
        <f>M6+M16+M18+M23+M24+M11</f>
        <v>96.2</v>
      </c>
      <c r="N5" s="95">
        <f>N6+N16+N18+N23+N24+N11</f>
        <v>64</v>
      </c>
      <c r="O5" s="96">
        <f aca="true" t="shared" si="2" ref="O5:O33">IF(N5&gt;0,M5/N5,0)</f>
        <v>1.503125</v>
      </c>
      <c r="P5" s="95">
        <f>P6+P16+P18+P23+P24+P11</f>
        <v>110.5</v>
      </c>
      <c r="Q5" s="95">
        <f>Q6+Q16+Q18+Q23+Q24+Q11</f>
        <v>110</v>
      </c>
      <c r="R5" s="95">
        <f>R6+R16+R18+R23+R24+R11</f>
        <v>108.9</v>
      </c>
    </row>
    <row r="6" spans="1:18" ht="18">
      <c r="A6" s="9" t="s">
        <v>69</v>
      </c>
      <c r="B6" s="30">
        <v>1010200001</v>
      </c>
      <c r="C6" s="74">
        <f aca="true" t="shared" si="3" ref="C6:H6">C7+C8+C9+C10</f>
        <v>210.7</v>
      </c>
      <c r="D6" s="74">
        <f t="shared" si="3"/>
        <v>0</v>
      </c>
      <c r="E6" s="74">
        <f t="shared" si="3"/>
        <v>210.7</v>
      </c>
      <c r="F6" s="74">
        <f t="shared" si="3"/>
        <v>0</v>
      </c>
      <c r="G6" s="74">
        <f t="shared" si="3"/>
        <v>33.9</v>
      </c>
      <c r="H6" s="74">
        <f t="shared" si="3"/>
        <v>51.599999999999994</v>
      </c>
      <c r="I6" s="92">
        <f t="shared" si="1"/>
        <v>0.24489795918367346</v>
      </c>
      <c r="J6" s="92">
        <f>IF(F6&gt;0,H6/F6,0)</f>
        <v>0</v>
      </c>
      <c r="K6" s="74">
        <f>K7+K8+K9+K10</f>
        <v>44.800000000000004</v>
      </c>
      <c r="L6" s="92">
        <f aca="true" t="shared" si="4" ref="L6:L40">IF(K6&gt;0,H6/K6,0)</f>
        <v>1.151785714285714</v>
      </c>
      <c r="M6" s="74">
        <f>M7+M8+M9+M10</f>
        <v>17.7</v>
      </c>
      <c r="N6" s="74">
        <f>N7+N8+N9+N10</f>
        <v>17.6</v>
      </c>
      <c r="O6" s="92">
        <f t="shared" si="2"/>
        <v>1.0056818181818181</v>
      </c>
      <c r="P6" s="74">
        <f>P7+P8+P9+P10</f>
        <v>0</v>
      </c>
      <c r="Q6" s="74">
        <f>Q7+Q8+Q9+Q10</f>
        <v>0</v>
      </c>
      <c r="R6" s="74">
        <f>R7+R8+R9+R10</f>
        <v>0</v>
      </c>
    </row>
    <row r="7" spans="1:18" ht="18" customHeight="1">
      <c r="A7" s="10" t="s">
        <v>49</v>
      </c>
      <c r="B7" s="13">
        <v>1010201001</v>
      </c>
      <c r="C7" s="73">
        <v>210.7</v>
      </c>
      <c r="D7" s="70"/>
      <c r="E7" s="73">
        <f>C7+D7</f>
        <v>210.7</v>
      </c>
      <c r="F7" s="73"/>
      <c r="G7" s="70">
        <v>33.9</v>
      </c>
      <c r="H7" s="70">
        <f>G7+M7</f>
        <v>51.599999999999994</v>
      </c>
      <c r="I7" s="81">
        <f t="shared" si="1"/>
        <v>0.24489795918367346</v>
      </c>
      <c r="J7" s="81">
        <f aca="true" t="shared" si="5" ref="J7:J38">IF(F7&gt;0,H7/F7,0)</f>
        <v>0</v>
      </c>
      <c r="K7" s="70">
        <v>44.7</v>
      </c>
      <c r="L7" s="81">
        <f t="shared" si="4"/>
        <v>1.1543624161073824</v>
      </c>
      <c r="M7" s="70">
        <v>17.7</v>
      </c>
      <c r="N7" s="70">
        <v>17.5</v>
      </c>
      <c r="O7" s="81">
        <f t="shared" si="2"/>
        <v>1.0114285714285713</v>
      </c>
      <c r="P7" s="73"/>
      <c r="Q7" s="73"/>
      <c r="R7" s="73"/>
    </row>
    <row r="8" spans="1:18" ht="15" customHeight="1">
      <c r="A8" s="10" t="s">
        <v>48</v>
      </c>
      <c r="B8" s="13">
        <v>1010202001</v>
      </c>
      <c r="C8" s="73"/>
      <c r="D8" s="70"/>
      <c r="E8" s="73">
        <f>C8+D8</f>
        <v>0</v>
      </c>
      <c r="F8" s="73"/>
      <c r="G8" s="73"/>
      <c r="H8" s="70">
        <f>G8+M8</f>
        <v>0</v>
      </c>
      <c r="I8" s="81">
        <f t="shared" si="1"/>
        <v>0</v>
      </c>
      <c r="J8" s="81">
        <f t="shared" si="5"/>
        <v>0</v>
      </c>
      <c r="K8" s="73"/>
      <c r="L8" s="81">
        <f>IF(K8&gt;0,H8/K8,0)</f>
        <v>0</v>
      </c>
      <c r="M8" s="73"/>
      <c r="N8" s="73"/>
      <c r="O8" s="81">
        <f>IF(N8&gt;0,M8/N8,0)</f>
        <v>0</v>
      </c>
      <c r="P8" s="73"/>
      <c r="Q8" s="73"/>
      <c r="R8" s="73"/>
    </row>
    <row r="9" spans="1:18" ht="18">
      <c r="A9" s="10" t="s">
        <v>46</v>
      </c>
      <c r="B9" s="13">
        <v>1010203001</v>
      </c>
      <c r="C9" s="73"/>
      <c r="D9" s="73"/>
      <c r="E9" s="73">
        <f>C9+D9</f>
        <v>0</v>
      </c>
      <c r="F9" s="73"/>
      <c r="G9" s="73"/>
      <c r="H9" s="70">
        <f>G9+M9</f>
        <v>0</v>
      </c>
      <c r="I9" s="81">
        <f t="shared" si="1"/>
        <v>0</v>
      </c>
      <c r="J9" s="81">
        <f t="shared" si="5"/>
        <v>0</v>
      </c>
      <c r="K9" s="73">
        <v>0.1</v>
      </c>
      <c r="L9" s="81">
        <f t="shared" si="4"/>
        <v>0</v>
      </c>
      <c r="M9" s="73"/>
      <c r="N9" s="73">
        <v>0.1</v>
      </c>
      <c r="O9" s="81">
        <f t="shared" si="2"/>
        <v>0</v>
      </c>
      <c r="P9" s="73"/>
      <c r="Q9" s="73"/>
      <c r="R9" s="73"/>
    </row>
    <row r="10" spans="1:18" ht="15.75" customHeight="1" hidden="1">
      <c r="A10" s="10" t="s">
        <v>47</v>
      </c>
      <c r="B10" s="13">
        <v>1010204001</v>
      </c>
      <c r="C10" s="73"/>
      <c r="D10" s="73"/>
      <c r="E10" s="73">
        <f>C10+D10</f>
        <v>0</v>
      </c>
      <c r="F10" s="73"/>
      <c r="G10" s="73"/>
      <c r="H10" s="70">
        <f>G10+M10</f>
        <v>0</v>
      </c>
      <c r="I10" s="81">
        <f t="shared" si="1"/>
        <v>0</v>
      </c>
      <c r="J10" s="81">
        <f t="shared" si="5"/>
        <v>0</v>
      </c>
      <c r="K10" s="73"/>
      <c r="L10" s="81">
        <f t="shared" si="4"/>
        <v>0</v>
      </c>
      <c r="M10" s="73"/>
      <c r="N10" s="73"/>
      <c r="O10" s="81">
        <f t="shared" si="2"/>
        <v>0</v>
      </c>
      <c r="P10" s="73"/>
      <c r="Q10" s="73"/>
      <c r="R10" s="73"/>
    </row>
    <row r="11" spans="1:18" ht="15.75" customHeight="1">
      <c r="A11" s="11" t="s">
        <v>54</v>
      </c>
      <c r="B11" s="19">
        <v>1030200001</v>
      </c>
      <c r="C11" s="74">
        <f aca="true" t="shared" si="6" ref="C11:H11">SUM(C12:C15)</f>
        <v>372.59999999999997</v>
      </c>
      <c r="D11" s="74">
        <f t="shared" si="6"/>
        <v>0</v>
      </c>
      <c r="E11" s="74">
        <f t="shared" si="6"/>
        <v>372.59999999999997</v>
      </c>
      <c r="F11" s="74">
        <f t="shared" si="6"/>
        <v>0</v>
      </c>
      <c r="G11" s="74">
        <f>SUM(G12:G15)</f>
        <v>56.9</v>
      </c>
      <c r="H11" s="74">
        <f t="shared" si="6"/>
        <v>133.39999999999998</v>
      </c>
      <c r="I11" s="68">
        <f t="shared" si="1"/>
        <v>0.35802469135802467</v>
      </c>
      <c r="J11" s="68">
        <f>IF(F11&gt;0,H11/F11,0)</f>
        <v>0</v>
      </c>
      <c r="K11" s="74">
        <f>SUM(K12:K15)</f>
        <v>123.39999999999999</v>
      </c>
      <c r="L11" s="68">
        <f t="shared" si="4"/>
        <v>1.0810372771474877</v>
      </c>
      <c r="M11" s="74">
        <f>SUM(M12:M15)</f>
        <v>76.5</v>
      </c>
      <c r="N11" s="74">
        <f>SUM(N12:N15)</f>
        <v>42.900000000000006</v>
      </c>
      <c r="O11" s="68">
        <f t="shared" si="2"/>
        <v>1.783216783216783</v>
      </c>
      <c r="P11" s="74">
        <f>SUM(P12:P15)</f>
        <v>0</v>
      </c>
      <c r="Q11" s="74">
        <f>SUM(Q12:Q15)</f>
        <v>0</v>
      </c>
      <c r="R11" s="74">
        <f>SUM(R12:R15)</f>
        <v>0</v>
      </c>
    </row>
    <row r="12" spans="1:18" ht="18.75" customHeight="1">
      <c r="A12" s="12" t="s">
        <v>55</v>
      </c>
      <c r="B12" s="12">
        <v>1030223001</v>
      </c>
      <c r="C12" s="73">
        <v>111.9</v>
      </c>
      <c r="D12" s="73"/>
      <c r="E12" s="69">
        <f>C12+D12</f>
        <v>111.9</v>
      </c>
      <c r="F12" s="69"/>
      <c r="G12" s="73">
        <v>21.5</v>
      </c>
      <c r="H12" s="71">
        <f>G12+M12</f>
        <v>45.1</v>
      </c>
      <c r="I12" s="72">
        <f t="shared" si="1"/>
        <v>0.40303842716711347</v>
      </c>
      <c r="J12" s="72">
        <f>IF(F12&gt;0,H12/F12,0)</f>
        <v>0</v>
      </c>
      <c r="K12" s="73">
        <v>48.8</v>
      </c>
      <c r="L12" s="72">
        <f t="shared" si="4"/>
        <v>0.9241803278688525</v>
      </c>
      <c r="M12" s="73">
        <v>23.6</v>
      </c>
      <c r="N12" s="73">
        <v>17.6</v>
      </c>
      <c r="O12" s="72">
        <f t="shared" si="2"/>
        <v>1.3409090909090908</v>
      </c>
      <c r="P12" s="73"/>
      <c r="Q12" s="73"/>
      <c r="R12" s="73"/>
    </row>
    <row r="13" spans="1:18" ht="18.75" customHeight="1">
      <c r="A13" s="12" t="s">
        <v>56</v>
      </c>
      <c r="B13" s="12">
        <v>1030224001</v>
      </c>
      <c r="C13" s="73">
        <v>3.8</v>
      </c>
      <c r="D13" s="73"/>
      <c r="E13" s="69">
        <f>C13+D13</f>
        <v>3.8</v>
      </c>
      <c r="F13" s="69"/>
      <c r="G13" s="73">
        <v>0.5</v>
      </c>
      <c r="H13" s="71">
        <f>G13+M13</f>
        <v>1</v>
      </c>
      <c r="I13" s="72">
        <f t="shared" si="1"/>
        <v>0.2631578947368421</v>
      </c>
      <c r="J13" s="72">
        <f>IF(F13&gt;0,H13/F13,0)</f>
        <v>0</v>
      </c>
      <c r="K13" s="73">
        <v>0.8</v>
      </c>
      <c r="L13" s="72">
        <f t="shared" si="4"/>
        <v>1.25</v>
      </c>
      <c r="M13" s="73">
        <v>0.5</v>
      </c>
      <c r="N13" s="73">
        <v>0.3</v>
      </c>
      <c r="O13" s="72">
        <f t="shared" si="2"/>
        <v>1.6666666666666667</v>
      </c>
      <c r="P13" s="73"/>
      <c r="Q13" s="73"/>
      <c r="R13" s="73"/>
    </row>
    <row r="14" spans="1:18" ht="18" customHeight="1">
      <c r="A14" s="12" t="s">
        <v>57</v>
      </c>
      <c r="B14" s="12">
        <v>1030225001</v>
      </c>
      <c r="C14" s="73">
        <v>250.7</v>
      </c>
      <c r="D14" s="73"/>
      <c r="E14" s="69">
        <f>C14+D14</f>
        <v>250.7</v>
      </c>
      <c r="F14" s="69"/>
      <c r="G14" s="73">
        <v>37.3</v>
      </c>
      <c r="H14" s="71">
        <f>G14+M14</f>
        <v>90.19999999999999</v>
      </c>
      <c r="I14" s="72">
        <f t="shared" si="1"/>
        <v>0.35979258077383325</v>
      </c>
      <c r="J14" s="72">
        <f>IF(F14&gt;0,H14/F14,0)</f>
        <v>0</v>
      </c>
      <c r="K14" s="73">
        <v>73.8</v>
      </c>
      <c r="L14" s="72">
        <f t="shared" si="4"/>
        <v>1.222222222222222</v>
      </c>
      <c r="M14" s="73">
        <v>52.9</v>
      </c>
      <c r="N14" s="73">
        <v>25</v>
      </c>
      <c r="O14" s="72">
        <f t="shared" si="2"/>
        <v>2.116</v>
      </c>
      <c r="P14" s="73"/>
      <c r="Q14" s="73"/>
      <c r="R14" s="73"/>
    </row>
    <row r="15" spans="1:18" ht="18" customHeight="1">
      <c r="A15" s="12" t="s">
        <v>58</v>
      </c>
      <c r="B15" s="12">
        <v>1030226001</v>
      </c>
      <c r="C15" s="73">
        <v>6.2</v>
      </c>
      <c r="D15" s="73"/>
      <c r="E15" s="69">
        <f>C15+D15</f>
        <v>6.2</v>
      </c>
      <c r="F15" s="69"/>
      <c r="G15" s="73">
        <v>-2.4</v>
      </c>
      <c r="H15" s="71">
        <f>G15+M15</f>
        <v>-2.9</v>
      </c>
      <c r="I15" s="72">
        <f t="shared" si="1"/>
        <v>-0.46774193548387094</v>
      </c>
      <c r="J15" s="72">
        <f>IF(F15&gt;0,H15/F15,0)</f>
        <v>0</v>
      </c>
      <c r="K15" s="73"/>
      <c r="L15" s="72">
        <f t="shared" si="4"/>
        <v>0</v>
      </c>
      <c r="M15" s="73">
        <v>-0.5</v>
      </c>
      <c r="N15" s="73"/>
      <c r="O15" s="72">
        <f t="shared" si="2"/>
        <v>0</v>
      </c>
      <c r="P15" s="73"/>
      <c r="Q15" s="73"/>
      <c r="R15" s="73"/>
    </row>
    <row r="16" spans="1:18" ht="18">
      <c r="A16" s="9" t="s">
        <v>76</v>
      </c>
      <c r="B16" s="30">
        <v>1050000000</v>
      </c>
      <c r="C16" s="74">
        <f aca="true" t="shared" si="7" ref="C16:H16">C17</f>
        <v>0</v>
      </c>
      <c r="D16" s="75">
        <f t="shared" si="7"/>
        <v>0</v>
      </c>
      <c r="E16" s="75">
        <f t="shared" si="7"/>
        <v>0</v>
      </c>
      <c r="F16" s="75">
        <f t="shared" si="7"/>
        <v>0</v>
      </c>
      <c r="G16" s="74">
        <f>G17</f>
        <v>0</v>
      </c>
      <c r="H16" s="75">
        <f t="shared" si="7"/>
        <v>0</v>
      </c>
      <c r="I16" s="92">
        <f t="shared" si="1"/>
        <v>0</v>
      </c>
      <c r="J16" s="92">
        <f t="shared" si="5"/>
        <v>0</v>
      </c>
      <c r="K16" s="74">
        <f>K17</f>
        <v>0</v>
      </c>
      <c r="L16" s="92">
        <f t="shared" si="4"/>
        <v>0</v>
      </c>
      <c r="M16" s="74">
        <f>M17</f>
        <v>0</v>
      </c>
      <c r="N16" s="74">
        <f>N17</f>
        <v>0</v>
      </c>
      <c r="O16" s="92">
        <f t="shared" si="2"/>
        <v>0</v>
      </c>
      <c r="P16" s="74">
        <f>P17</f>
        <v>0</v>
      </c>
      <c r="Q16" s="74">
        <f>Q17</f>
        <v>0</v>
      </c>
      <c r="R16" s="74">
        <f>R17</f>
        <v>0</v>
      </c>
    </row>
    <row r="17" spans="1:18" ht="18">
      <c r="A17" s="13" t="s">
        <v>7</v>
      </c>
      <c r="B17" s="13">
        <v>1050300001</v>
      </c>
      <c r="C17" s="73"/>
      <c r="D17" s="70"/>
      <c r="E17" s="73">
        <f>C17+D17</f>
        <v>0</v>
      </c>
      <c r="F17" s="73"/>
      <c r="G17" s="73"/>
      <c r="H17" s="70">
        <f>G17+M17</f>
        <v>0</v>
      </c>
      <c r="I17" s="81">
        <f t="shared" si="1"/>
        <v>0</v>
      </c>
      <c r="J17" s="81">
        <f t="shared" si="5"/>
        <v>0</v>
      </c>
      <c r="K17" s="73"/>
      <c r="L17" s="81">
        <f t="shared" si="4"/>
        <v>0</v>
      </c>
      <c r="M17" s="73"/>
      <c r="N17" s="73"/>
      <c r="O17" s="81">
        <f t="shared" si="2"/>
        <v>0</v>
      </c>
      <c r="P17" s="73"/>
      <c r="Q17" s="73"/>
      <c r="R17" s="73"/>
    </row>
    <row r="18" spans="1:18" ht="18">
      <c r="A18" s="9" t="s">
        <v>77</v>
      </c>
      <c r="B18" s="30">
        <v>1060000000</v>
      </c>
      <c r="C18" s="74">
        <f aca="true" t="shared" si="8" ref="C18:H18">C19+C22</f>
        <v>91.3</v>
      </c>
      <c r="D18" s="75">
        <f t="shared" si="8"/>
        <v>0</v>
      </c>
      <c r="E18" s="75">
        <f t="shared" si="8"/>
        <v>91.3</v>
      </c>
      <c r="F18" s="75">
        <f t="shared" si="8"/>
        <v>0</v>
      </c>
      <c r="G18" s="74">
        <f>G19+G22</f>
        <v>5.699999999999999</v>
      </c>
      <c r="H18" s="75">
        <f t="shared" si="8"/>
        <v>7.699999999999999</v>
      </c>
      <c r="I18" s="92">
        <f t="shared" si="1"/>
        <v>0.08433734939759036</v>
      </c>
      <c r="J18" s="92">
        <f t="shared" si="5"/>
        <v>0</v>
      </c>
      <c r="K18" s="74">
        <f>K19+K22</f>
        <v>14.2</v>
      </c>
      <c r="L18" s="92">
        <f t="shared" si="4"/>
        <v>0.5422535211267605</v>
      </c>
      <c r="M18" s="74">
        <f>M19+M22</f>
        <v>2</v>
      </c>
      <c r="N18" s="74">
        <f>N19+N22</f>
        <v>3.0999999999999996</v>
      </c>
      <c r="O18" s="92">
        <f t="shared" si="2"/>
        <v>0.6451612903225807</v>
      </c>
      <c r="P18" s="74">
        <f>P19+P22</f>
        <v>110.5</v>
      </c>
      <c r="Q18" s="74">
        <f>Q19+Q22</f>
        <v>110</v>
      </c>
      <c r="R18" s="74">
        <f>R19+R22</f>
        <v>108.9</v>
      </c>
    </row>
    <row r="19" spans="1:18" ht="18">
      <c r="A19" s="13" t="s">
        <v>13</v>
      </c>
      <c r="B19" s="13">
        <v>1060600000</v>
      </c>
      <c r="C19" s="73">
        <f aca="true" t="shared" si="9" ref="C19:H19">C20+C21</f>
        <v>71</v>
      </c>
      <c r="D19" s="70">
        <f t="shared" si="9"/>
        <v>0</v>
      </c>
      <c r="E19" s="70">
        <f t="shared" si="9"/>
        <v>71</v>
      </c>
      <c r="F19" s="70">
        <f t="shared" si="9"/>
        <v>0</v>
      </c>
      <c r="G19" s="73">
        <f>G20+G21</f>
        <v>4.3</v>
      </c>
      <c r="H19" s="70">
        <f t="shared" si="9"/>
        <v>5.1</v>
      </c>
      <c r="I19" s="81">
        <f t="shared" si="1"/>
        <v>0.07183098591549296</v>
      </c>
      <c r="J19" s="81">
        <f t="shared" si="5"/>
        <v>0</v>
      </c>
      <c r="K19" s="73">
        <f>K20+K21</f>
        <v>13.1</v>
      </c>
      <c r="L19" s="81">
        <f t="shared" si="4"/>
        <v>0.3893129770992366</v>
      </c>
      <c r="M19" s="73">
        <f>M20+M21</f>
        <v>0.8</v>
      </c>
      <c r="N19" s="73">
        <f>N20+N21</f>
        <v>2.4</v>
      </c>
      <c r="O19" s="81">
        <f t="shared" si="2"/>
        <v>0.33333333333333337</v>
      </c>
      <c r="P19" s="73">
        <f>P20+P21</f>
        <v>104.8</v>
      </c>
      <c r="Q19" s="73">
        <f>Q20+Q21</f>
        <v>106</v>
      </c>
      <c r="R19" s="73">
        <f>R20+R21</f>
        <v>104.9</v>
      </c>
    </row>
    <row r="20" spans="1:18" ht="18">
      <c r="A20" s="13" t="s">
        <v>14</v>
      </c>
      <c r="B20" s="13">
        <v>1060603310</v>
      </c>
      <c r="C20" s="73">
        <v>66.5</v>
      </c>
      <c r="D20" s="70"/>
      <c r="E20" s="73">
        <f>C20+D20</f>
        <v>66.5</v>
      </c>
      <c r="F20" s="73"/>
      <c r="G20" s="73">
        <v>3.8</v>
      </c>
      <c r="H20" s="70">
        <f>G20+M20</f>
        <v>3.8</v>
      </c>
      <c r="I20" s="81">
        <f t="shared" si="1"/>
        <v>0.05714285714285714</v>
      </c>
      <c r="J20" s="81">
        <f t="shared" si="5"/>
        <v>0</v>
      </c>
      <c r="K20" s="73">
        <v>8.2</v>
      </c>
      <c r="L20" s="81">
        <f t="shared" si="4"/>
        <v>0.4634146341463415</v>
      </c>
      <c r="M20" s="73"/>
      <c r="N20" s="73">
        <v>0.9</v>
      </c>
      <c r="O20" s="81">
        <f t="shared" si="2"/>
        <v>0</v>
      </c>
      <c r="P20" s="73">
        <v>101.3</v>
      </c>
      <c r="Q20" s="73">
        <v>9.2</v>
      </c>
      <c r="R20" s="73">
        <v>8.9</v>
      </c>
    </row>
    <row r="21" spans="1:18" ht="18">
      <c r="A21" s="13" t="s">
        <v>14</v>
      </c>
      <c r="B21" s="13">
        <v>1060604310</v>
      </c>
      <c r="C21" s="73">
        <v>4.5</v>
      </c>
      <c r="D21" s="70"/>
      <c r="E21" s="73">
        <f>C21+D21</f>
        <v>4.5</v>
      </c>
      <c r="F21" s="73"/>
      <c r="G21" s="73">
        <v>0.5</v>
      </c>
      <c r="H21" s="70">
        <f>G21+M21</f>
        <v>1.3</v>
      </c>
      <c r="I21" s="81">
        <f t="shared" si="1"/>
        <v>0.2888888888888889</v>
      </c>
      <c r="J21" s="81">
        <f t="shared" si="5"/>
        <v>0</v>
      </c>
      <c r="K21" s="73">
        <v>4.9</v>
      </c>
      <c r="L21" s="81">
        <f t="shared" si="4"/>
        <v>0.2653061224489796</v>
      </c>
      <c r="M21" s="73">
        <v>0.8</v>
      </c>
      <c r="N21" s="73">
        <v>1.5</v>
      </c>
      <c r="O21" s="81">
        <f t="shared" si="2"/>
        <v>0.5333333333333333</v>
      </c>
      <c r="P21" s="73">
        <v>3.5</v>
      </c>
      <c r="Q21" s="73">
        <v>96.8</v>
      </c>
      <c r="R21" s="73">
        <v>96</v>
      </c>
    </row>
    <row r="22" spans="1:18" ht="18">
      <c r="A22" s="13" t="s">
        <v>12</v>
      </c>
      <c r="B22" s="13">
        <v>1060103010</v>
      </c>
      <c r="C22" s="73">
        <v>20.3</v>
      </c>
      <c r="D22" s="70"/>
      <c r="E22" s="73">
        <f>C22+D22</f>
        <v>20.3</v>
      </c>
      <c r="F22" s="73"/>
      <c r="G22" s="73">
        <v>1.4</v>
      </c>
      <c r="H22" s="70">
        <f>G22+M22</f>
        <v>2.5999999999999996</v>
      </c>
      <c r="I22" s="81">
        <f t="shared" si="1"/>
        <v>0.12807881773399013</v>
      </c>
      <c r="J22" s="81">
        <f t="shared" si="5"/>
        <v>0</v>
      </c>
      <c r="K22" s="73">
        <v>1.1</v>
      </c>
      <c r="L22" s="81">
        <f t="shared" si="4"/>
        <v>2.3636363636363633</v>
      </c>
      <c r="M22" s="73">
        <v>1.2</v>
      </c>
      <c r="N22" s="73">
        <v>0.7</v>
      </c>
      <c r="O22" s="81">
        <f t="shared" si="2"/>
        <v>1.7142857142857144</v>
      </c>
      <c r="P22" s="73">
        <v>5.7</v>
      </c>
      <c r="Q22" s="73">
        <v>4</v>
      </c>
      <c r="R22" s="73">
        <v>4</v>
      </c>
    </row>
    <row r="23" spans="1:18" ht="18">
      <c r="A23" s="9" t="s">
        <v>78</v>
      </c>
      <c r="B23" s="30">
        <v>1080402001</v>
      </c>
      <c r="C23" s="74">
        <v>2.5</v>
      </c>
      <c r="D23" s="75"/>
      <c r="E23" s="74">
        <f>C23+D23</f>
        <v>2.5</v>
      </c>
      <c r="F23" s="74"/>
      <c r="G23" s="74"/>
      <c r="H23" s="75">
        <f>G23+M23</f>
        <v>0</v>
      </c>
      <c r="I23" s="92">
        <f t="shared" si="1"/>
        <v>0</v>
      </c>
      <c r="J23" s="92">
        <f t="shared" si="5"/>
        <v>0</v>
      </c>
      <c r="K23" s="74">
        <v>0.4</v>
      </c>
      <c r="L23" s="92">
        <f t="shared" si="4"/>
        <v>0</v>
      </c>
      <c r="M23" s="74"/>
      <c r="N23" s="74">
        <v>0.4</v>
      </c>
      <c r="O23" s="92">
        <f t="shared" si="2"/>
        <v>0</v>
      </c>
      <c r="P23" s="74"/>
      <c r="Q23" s="74"/>
      <c r="R23" s="74"/>
    </row>
    <row r="24" spans="1:18" ht="18">
      <c r="A24" s="9" t="s">
        <v>79</v>
      </c>
      <c r="B24" s="30">
        <v>1090405010</v>
      </c>
      <c r="C24" s="74"/>
      <c r="D24" s="74"/>
      <c r="E24" s="74">
        <f>C24+D24</f>
        <v>0</v>
      </c>
      <c r="F24" s="74"/>
      <c r="G24" s="74"/>
      <c r="H24" s="75">
        <f>G24+M24</f>
        <v>0</v>
      </c>
      <c r="I24" s="92">
        <f t="shared" si="1"/>
        <v>0</v>
      </c>
      <c r="J24" s="92">
        <f t="shared" si="5"/>
        <v>0</v>
      </c>
      <c r="K24" s="74"/>
      <c r="L24" s="92">
        <f t="shared" si="4"/>
        <v>0</v>
      </c>
      <c r="M24" s="74"/>
      <c r="N24" s="74"/>
      <c r="O24" s="92">
        <f t="shared" si="2"/>
        <v>0</v>
      </c>
      <c r="P24" s="74"/>
      <c r="Q24" s="74"/>
      <c r="R24" s="74"/>
    </row>
    <row r="25" spans="1:18" ht="18">
      <c r="A25" s="32" t="s">
        <v>24</v>
      </c>
      <c r="B25" s="32"/>
      <c r="C25" s="78">
        <f aca="true" t="shared" si="10" ref="C25:H25">C26+C29+C33+C32+C31+C30</f>
        <v>307.9</v>
      </c>
      <c r="D25" s="78">
        <f t="shared" si="10"/>
        <v>87.8</v>
      </c>
      <c r="E25" s="78">
        <f t="shared" si="10"/>
        <v>395.7</v>
      </c>
      <c r="F25" s="78">
        <f t="shared" si="10"/>
        <v>0</v>
      </c>
      <c r="G25" s="78">
        <f>G26+G29+G33+G32+G31+G30</f>
        <v>0</v>
      </c>
      <c r="H25" s="78">
        <f t="shared" si="10"/>
        <v>61.6</v>
      </c>
      <c r="I25" s="96">
        <f t="shared" si="1"/>
        <v>0.15567349001769018</v>
      </c>
      <c r="J25" s="96">
        <f t="shared" si="5"/>
        <v>0</v>
      </c>
      <c r="K25" s="78">
        <f>K26+K29+K32+K31+K30+K33</f>
        <v>63.800000000000004</v>
      </c>
      <c r="L25" s="96">
        <f t="shared" si="4"/>
        <v>0.9655172413793103</v>
      </c>
      <c r="M25" s="78">
        <f>M26+M29+M33+M32+M31+M30</f>
        <v>61.6</v>
      </c>
      <c r="N25" s="78">
        <f>N26+N29+N32+N31+N30+N33</f>
        <v>48.6</v>
      </c>
      <c r="O25" s="96">
        <f t="shared" si="2"/>
        <v>1.2674897119341564</v>
      </c>
      <c r="P25" s="78">
        <f>P26+P29+P33+P32+P31</f>
        <v>0</v>
      </c>
      <c r="Q25" s="78">
        <f>Q26+Q29+Q33+Q32+Q31</f>
        <v>0</v>
      </c>
      <c r="R25" s="78">
        <f>R26+R29+R33+R32+R31</f>
        <v>0</v>
      </c>
    </row>
    <row r="26" spans="1:18" ht="18">
      <c r="A26" s="9" t="s">
        <v>80</v>
      </c>
      <c r="B26" s="30">
        <v>1110000000</v>
      </c>
      <c r="C26" s="74">
        <f aca="true" t="shared" si="11" ref="C26:H26">C27+C28</f>
        <v>58</v>
      </c>
      <c r="D26" s="74">
        <f t="shared" si="11"/>
        <v>0</v>
      </c>
      <c r="E26" s="74">
        <f t="shared" si="11"/>
        <v>58</v>
      </c>
      <c r="F26" s="74">
        <f t="shared" si="11"/>
        <v>0</v>
      </c>
      <c r="G26" s="74">
        <f>G27+G28</f>
        <v>0</v>
      </c>
      <c r="H26" s="74">
        <f t="shared" si="11"/>
        <v>0</v>
      </c>
      <c r="I26" s="92">
        <f t="shared" si="1"/>
        <v>0</v>
      </c>
      <c r="J26" s="92">
        <f t="shared" si="5"/>
        <v>0</v>
      </c>
      <c r="K26" s="74">
        <f>K27+K28</f>
        <v>12.2</v>
      </c>
      <c r="L26" s="92">
        <f t="shared" si="4"/>
        <v>0</v>
      </c>
      <c r="M26" s="74">
        <f>M27+M28</f>
        <v>0</v>
      </c>
      <c r="N26" s="74">
        <f>N27+N28</f>
        <v>9.1</v>
      </c>
      <c r="O26" s="92">
        <f t="shared" si="2"/>
        <v>0</v>
      </c>
      <c r="P26" s="74">
        <f>P27+P28</f>
        <v>0</v>
      </c>
      <c r="Q26" s="74">
        <f>Q27+Q28</f>
        <v>0</v>
      </c>
      <c r="R26" s="74">
        <f>R27+R28</f>
        <v>0</v>
      </c>
    </row>
    <row r="27" spans="1:18" ht="18">
      <c r="A27" s="13" t="s">
        <v>28</v>
      </c>
      <c r="B27" s="13">
        <v>1110501013</v>
      </c>
      <c r="C27" s="73"/>
      <c r="D27" s="70"/>
      <c r="E27" s="73">
        <f aca="true" t="shared" si="12" ref="E27:E32">C27+D27</f>
        <v>0</v>
      </c>
      <c r="F27" s="73"/>
      <c r="G27" s="73"/>
      <c r="H27" s="70">
        <f aca="true" t="shared" si="13" ref="H27:H32">G27+M27</f>
        <v>0</v>
      </c>
      <c r="I27" s="81">
        <f t="shared" si="1"/>
        <v>0</v>
      </c>
      <c r="J27" s="81">
        <f t="shared" si="5"/>
        <v>0</v>
      </c>
      <c r="K27" s="73"/>
      <c r="L27" s="81">
        <f t="shared" si="4"/>
        <v>0</v>
      </c>
      <c r="M27" s="73"/>
      <c r="N27" s="73"/>
      <c r="O27" s="81">
        <f t="shared" si="2"/>
        <v>0</v>
      </c>
      <c r="P27" s="73"/>
      <c r="Q27" s="73"/>
      <c r="R27" s="73"/>
    </row>
    <row r="28" spans="1:18" ht="18">
      <c r="A28" s="33" t="s">
        <v>25</v>
      </c>
      <c r="B28" s="13">
        <v>1110904510</v>
      </c>
      <c r="C28" s="73">
        <v>58</v>
      </c>
      <c r="D28" s="70"/>
      <c r="E28" s="73">
        <f t="shared" si="12"/>
        <v>58</v>
      </c>
      <c r="F28" s="73"/>
      <c r="G28" s="73"/>
      <c r="H28" s="70">
        <f t="shared" si="13"/>
        <v>0</v>
      </c>
      <c r="I28" s="81">
        <f t="shared" si="1"/>
        <v>0</v>
      </c>
      <c r="J28" s="81">
        <f t="shared" si="5"/>
        <v>0</v>
      </c>
      <c r="K28" s="73">
        <v>12.2</v>
      </c>
      <c r="L28" s="81">
        <f t="shared" si="4"/>
        <v>0</v>
      </c>
      <c r="M28" s="73"/>
      <c r="N28" s="73">
        <v>9.1</v>
      </c>
      <c r="O28" s="81">
        <f t="shared" si="2"/>
        <v>0</v>
      </c>
      <c r="P28" s="73"/>
      <c r="Q28" s="73"/>
      <c r="R28" s="73"/>
    </row>
    <row r="29" spans="1:18" ht="18">
      <c r="A29" s="9" t="s">
        <v>42</v>
      </c>
      <c r="B29" s="30">
        <v>1130299510</v>
      </c>
      <c r="C29" s="74">
        <v>246.9</v>
      </c>
      <c r="D29" s="74">
        <f>87.8</f>
        <v>87.8</v>
      </c>
      <c r="E29" s="74">
        <f t="shared" si="12"/>
        <v>334.7</v>
      </c>
      <c r="F29" s="74"/>
      <c r="G29" s="74"/>
      <c r="H29" s="75">
        <f t="shared" si="13"/>
        <v>61.6</v>
      </c>
      <c r="I29" s="92">
        <f t="shared" si="1"/>
        <v>0.18404541380340605</v>
      </c>
      <c r="J29" s="92">
        <f t="shared" si="5"/>
        <v>0</v>
      </c>
      <c r="K29" s="74">
        <v>51.5</v>
      </c>
      <c r="L29" s="92">
        <f t="shared" si="4"/>
        <v>1.196116504854369</v>
      </c>
      <c r="M29" s="74">
        <v>61.6</v>
      </c>
      <c r="N29" s="74">
        <v>39.4</v>
      </c>
      <c r="O29" s="92">
        <f t="shared" si="2"/>
        <v>1.5634517766497462</v>
      </c>
      <c r="P29" s="74"/>
      <c r="Q29" s="74"/>
      <c r="R29" s="74"/>
    </row>
    <row r="30" spans="1:18" ht="18">
      <c r="A30" s="9" t="s">
        <v>81</v>
      </c>
      <c r="B30" s="30">
        <v>1140205310</v>
      </c>
      <c r="C30" s="74"/>
      <c r="D30" s="74"/>
      <c r="E30" s="74">
        <f t="shared" si="12"/>
        <v>0</v>
      </c>
      <c r="F30" s="74"/>
      <c r="G30" s="74"/>
      <c r="H30" s="75">
        <f t="shared" si="13"/>
        <v>0</v>
      </c>
      <c r="I30" s="92">
        <f>IF(E30&gt;0,H30/E30,0)</f>
        <v>0</v>
      </c>
      <c r="J30" s="92">
        <f>IF(F30&gt;0,H30/F30,0)</f>
        <v>0</v>
      </c>
      <c r="K30" s="74"/>
      <c r="L30" s="92">
        <f t="shared" si="4"/>
        <v>0</v>
      </c>
      <c r="M30" s="74"/>
      <c r="N30" s="74"/>
      <c r="O30" s="92">
        <f t="shared" si="2"/>
        <v>0</v>
      </c>
      <c r="P30" s="74"/>
      <c r="Q30" s="74"/>
      <c r="R30" s="74"/>
    </row>
    <row r="31" spans="1:18" ht="18">
      <c r="A31" s="9" t="s">
        <v>82</v>
      </c>
      <c r="B31" s="30">
        <v>1140601410</v>
      </c>
      <c r="C31" s="74"/>
      <c r="D31" s="74"/>
      <c r="E31" s="74">
        <f t="shared" si="12"/>
        <v>0</v>
      </c>
      <c r="F31" s="74"/>
      <c r="G31" s="74"/>
      <c r="H31" s="75">
        <f t="shared" si="13"/>
        <v>0</v>
      </c>
      <c r="I31" s="92">
        <f>IF(E31&gt;0,H31/E31,0)</f>
        <v>0</v>
      </c>
      <c r="J31" s="92">
        <f>IF(F31&gt;0,H31/F31,0)</f>
        <v>0</v>
      </c>
      <c r="K31" s="74"/>
      <c r="L31" s="92">
        <f t="shared" si="4"/>
        <v>0</v>
      </c>
      <c r="M31" s="74"/>
      <c r="N31" s="74"/>
      <c r="O31" s="92">
        <f t="shared" si="2"/>
        <v>0</v>
      </c>
      <c r="P31" s="74"/>
      <c r="Q31" s="74"/>
      <c r="R31" s="74"/>
    </row>
    <row r="32" spans="1:18" ht="18">
      <c r="A32" s="9" t="s">
        <v>85</v>
      </c>
      <c r="B32" s="30">
        <v>1169005010</v>
      </c>
      <c r="C32" s="74">
        <v>3</v>
      </c>
      <c r="D32" s="74"/>
      <c r="E32" s="74">
        <f t="shared" si="12"/>
        <v>3</v>
      </c>
      <c r="F32" s="74"/>
      <c r="G32" s="74"/>
      <c r="H32" s="75">
        <f t="shared" si="13"/>
        <v>0</v>
      </c>
      <c r="I32" s="92">
        <f>IF(E32&gt;0,H32/E32,0)</f>
        <v>0</v>
      </c>
      <c r="J32" s="92">
        <f>IF(F32&gt;0,H32/F32,0)</f>
        <v>0</v>
      </c>
      <c r="K32" s="74"/>
      <c r="L32" s="92">
        <f t="shared" si="4"/>
        <v>0</v>
      </c>
      <c r="M32" s="74"/>
      <c r="N32" s="74"/>
      <c r="O32" s="92">
        <f t="shared" si="2"/>
        <v>0</v>
      </c>
      <c r="P32" s="74"/>
      <c r="Q32" s="74"/>
      <c r="R32" s="74"/>
    </row>
    <row r="33" spans="1:18" ht="18">
      <c r="A33" s="9" t="s">
        <v>75</v>
      </c>
      <c r="B33" s="30">
        <v>1170000000</v>
      </c>
      <c r="C33" s="74">
        <f>SUM(C34:C35)</f>
        <v>0</v>
      </c>
      <c r="D33" s="74">
        <f aca="true" t="shared" si="14" ref="D33:R33">SUM(D34:D35)</f>
        <v>0</v>
      </c>
      <c r="E33" s="74">
        <f t="shared" si="14"/>
        <v>0</v>
      </c>
      <c r="F33" s="74">
        <f t="shared" si="14"/>
        <v>0</v>
      </c>
      <c r="G33" s="74">
        <f>SUM(G34:G35)</f>
        <v>0</v>
      </c>
      <c r="H33" s="74">
        <f t="shared" si="14"/>
        <v>0</v>
      </c>
      <c r="I33" s="92">
        <f>IF(E33&gt;0,H33/E33,0)</f>
        <v>0</v>
      </c>
      <c r="J33" s="92">
        <f>IF(F33&gt;0,H33/F33,0)</f>
        <v>0</v>
      </c>
      <c r="K33" s="74">
        <f>SUM(K34:K35)</f>
        <v>0.1</v>
      </c>
      <c r="L33" s="92">
        <f t="shared" si="4"/>
        <v>0</v>
      </c>
      <c r="M33" s="74">
        <f t="shared" si="14"/>
        <v>0</v>
      </c>
      <c r="N33" s="74">
        <f t="shared" si="14"/>
        <v>0.1</v>
      </c>
      <c r="O33" s="92">
        <f t="shared" si="2"/>
        <v>0</v>
      </c>
      <c r="P33" s="74">
        <f t="shared" si="14"/>
        <v>0</v>
      </c>
      <c r="Q33" s="74">
        <f>SUM(Q34:Q35)</f>
        <v>0</v>
      </c>
      <c r="R33" s="74">
        <f t="shared" si="14"/>
        <v>0</v>
      </c>
    </row>
    <row r="34" spans="1:18" ht="18">
      <c r="A34" s="13" t="s">
        <v>8</v>
      </c>
      <c r="B34" s="13">
        <v>1170103003</v>
      </c>
      <c r="C34" s="73"/>
      <c r="D34" s="73"/>
      <c r="E34" s="73">
        <f>C34+D34</f>
        <v>0</v>
      </c>
      <c r="F34" s="73"/>
      <c r="G34" s="73">
        <v>-0.2</v>
      </c>
      <c r="H34" s="70">
        <f>G34+M34</f>
        <v>-0.2</v>
      </c>
      <c r="I34" s="81">
        <f t="shared" si="1"/>
        <v>0</v>
      </c>
      <c r="J34" s="81">
        <f t="shared" si="5"/>
        <v>0</v>
      </c>
      <c r="K34" s="73"/>
      <c r="L34" s="81">
        <f t="shared" si="4"/>
        <v>0</v>
      </c>
      <c r="M34" s="73"/>
      <c r="N34" s="73"/>
      <c r="O34" s="81">
        <f aca="true" t="shared" si="15" ref="O34:O40">IF(N34&gt;0,M34/N34,0)</f>
        <v>0</v>
      </c>
      <c r="P34" s="81"/>
      <c r="Q34" s="81"/>
      <c r="R34" s="81"/>
    </row>
    <row r="35" spans="1:18" ht="18">
      <c r="A35" s="13" t="s">
        <v>37</v>
      </c>
      <c r="B35" s="13">
        <v>1170505010</v>
      </c>
      <c r="C35" s="73"/>
      <c r="D35" s="70"/>
      <c r="E35" s="73">
        <f>C35+D35</f>
        <v>0</v>
      </c>
      <c r="F35" s="73"/>
      <c r="G35" s="73">
        <v>0.2</v>
      </c>
      <c r="H35" s="70">
        <f>G35+M35</f>
        <v>0.2</v>
      </c>
      <c r="I35" s="81">
        <f>IF(E35&gt;0,H35/E35,0)</f>
        <v>0</v>
      </c>
      <c r="J35" s="81">
        <f>IF(F35&gt;0,H35/F35,0)</f>
        <v>0</v>
      </c>
      <c r="K35" s="73">
        <v>0.1</v>
      </c>
      <c r="L35" s="81">
        <f>IF(K35&gt;0,H35/K35,0)</f>
        <v>2</v>
      </c>
      <c r="M35" s="73"/>
      <c r="N35" s="73">
        <v>0.1</v>
      </c>
      <c r="O35" s="81">
        <f t="shared" si="15"/>
        <v>0</v>
      </c>
      <c r="P35" s="73"/>
      <c r="Q35" s="73"/>
      <c r="R35" s="73"/>
    </row>
    <row r="36" spans="1:18" ht="18">
      <c r="A36" s="9" t="s">
        <v>6</v>
      </c>
      <c r="B36" s="9">
        <v>1000000000</v>
      </c>
      <c r="C36" s="83">
        <f aca="true" t="shared" si="16" ref="C36:H36">C5+C25</f>
        <v>984.9999999999999</v>
      </c>
      <c r="D36" s="83">
        <f t="shared" si="16"/>
        <v>87.8</v>
      </c>
      <c r="E36" s="93">
        <f t="shared" si="16"/>
        <v>1072.8</v>
      </c>
      <c r="F36" s="83">
        <f t="shared" si="16"/>
        <v>0</v>
      </c>
      <c r="G36" s="83">
        <f>G5+G25</f>
        <v>96.5</v>
      </c>
      <c r="H36" s="83">
        <f t="shared" si="16"/>
        <v>254.29999999999998</v>
      </c>
      <c r="I36" s="97">
        <f t="shared" si="1"/>
        <v>0.23704325130499626</v>
      </c>
      <c r="J36" s="97">
        <f t="shared" si="5"/>
        <v>0</v>
      </c>
      <c r="K36" s="83">
        <f>K5+K25</f>
        <v>246.6</v>
      </c>
      <c r="L36" s="97">
        <f t="shared" si="4"/>
        <v>1.0312246553122466</v>
      </c>
      <c r="M36" s="83">
        <f>M5+M25</f>
        <v>157.8</v>
      </c>
      <c r="N36" s="83">
        <f>N5+N25</f>
        <v>112.6</v>
      </c>
      <c r="O36" s="97">
        <f t="shared" si="15"/>
        <v>1.4014209591474247</v>
      </c>
      <c r="P36" s="83">
        <f>P5+P25</f>
        <v>110.5</v>
      </c>
      <c r="Q36" s="83">
        <f>Q5+Q25</f>
        <v>110</v>
      </c>
      <c r="R36" s="83">
        <f>R5+R25</f>
        <v>108.9</v>
      </c>
    </row>
    <row r="37" spans="1:18" ht="18">
      <c r="A37" s="9" t="s">
        <v>98</v>
      </c>
      <c r="B37" s="9"/>
      <c r="C37" s="83">
        <f aca="true" t="shared" si="17" ref="C37:H37">C36-C11</f>
        <v>612.3999999999999</v>
      </c>
      <c r="D37" s="83">
        <f t="shared" si="17"/>
        <v>87.8</v>
      </c>
      <c r="E37" s="83">
        <f t="shared" si="17"/>
        <v>700.2</v>
      </c>
      <c r="F37" s="83">
        <f t="shared" si="17"/>
        <v>0</v>
      </c>
      <c r="G37" s="83">
        <f>G36-G11</f>
        <v>39.6</v>
      </c>
      <c r="H37" s="83">
        <f t="shared" si="17"/>
        <v>120.9</v>
      </c>
      <c r="I37" s="97">
        <f>IF(E37&gt;0,H37/E37,0)</f>
        <v>0.1726649528706084</v>
      </c>
      <c r="J37" s="97">
        <f>IF(F37&gt;0,H37/F37,0)</f>
        <v>0</v>
      </c>
      <c r="K37" s="83">
        <f>K36-K11</f>
        <v>123.2</v>
      </c>
      <c r="L37" s="97">
        <f t="shared" si="4"/>
        <v>0.9813311688311689</v>
      </c>
      <c r="M37" s="83">
        <f>M36-M11</f>
        <v>81.30000000000001</v>
      </c>
      <c r="N37" s="83">
        <f>N36-N11</f>
        <v>69.69999999999999</v>
      </c>
      <c r="O37" s="97">
        <f t="shared" si="15"/>
        <v>1.1664275466284078</v>
      </c>
      <c r="P37" s="83"/>
      <c r="Q37" s="83"/>
      <c r="R37" s="83"/>
    </row>
    <row r="38" spans="1:18" ht="18">
      <c r="A38" s="13" t="s">
        <v>40</v>
      </c>
      <c r="B38" s="13">
        <v>2000000000</v>
      </c>
      <c r="C38" s="73">
        <v>712.8</v>
      </c>
      <c r="D38" s="88"/>
      <c r="E38" s="73">
        <f>C38+D38</f>
        <v>712.8</v>
      </c>
      <c r="F38" s="73"/>
      <c r="G38" s="73">
        <v>85</v>
      </c>
      <c r="H38" s="70">
        <f>G38+M38</f>
        <v>123.4</v>
      </c>
      <c r="I38" s="81">
        <f t="shared" si="1"/>
        <v>0.17312008978675647</v>
      </c>
      <c r="J38" s="81">
        <f t="shared" si="5"/>
        <v>0</v>
      </c>
      <c r="K38" s="73">
        <v>156</v>
      </c>
      <c r="L38" s="81">
        <f t="shared" si="4"/>
        <v>0.7910256410256411</v>
      </c>
      <c r="M38" s="73">
        <v>38.4</v>
      </c>
      <c r="N38" s="73">
        <v>47.9</v>
      </c>
      <c r="O38" s="81">
        <f t="shared" si="15"/>
        <v>0.8016701461377871</v>
      </c>
      <c r="P38" s="73"/>
      <c r="Q38" s="73"/>
      <c r="R38" s="73"/>
    </row>
    <row r="39" spans="1:18" ht="18">
      <c r="A39" s="13" t="s">
        <v>51</v>
      </c>
      <c r="B39" s="34" t="s">
        <v>41</v>
      </c>
      <c r="C39" s="73"/>
      <c r="D39" s="88"/>
      <c r="E39" s="73">
        <f>C39+D39</f>
        <v>0</v>
      </c>
      <c r="F39" s="73"/>
      <c r="G39" s="73"/>
      <c r="H39" s="70">
        <f>G39+M39</f>
        <v>0</v>
      </c>
      <c r="I39" s="81">
        <f>IF(E39&gt;0,H39/E39,0)</f>
        <v>0</v>
      </c>
      <c r="J39" s="81">
        <f>IF(F39&gt;0,H39/F39,0)</f>
        <v>0</v>
      </c>
      <c r="K39" s="73"/>
      <c r="L39" s="81">
        <f t="shared" si="4"/>
        <v>0</v>
      </c>
      <c r="M39" s="73"/>
      <c r="N39" s="73"/>
      <c r="O39" s="81">
        <f t="shared" si="15"/>
        <v>0</v>
      </c>
      <c r="P39" s="73"/>
      <c r="Q39" s="73"/>
      <c r="R39" s="73"/>
    </row>
    <row r="40" spans="1:18" ht="18">
      <c r="A40" s="9" t="s">
        <v>2</v>
      </c>
      <c r="B40" s="9">
        <v>0</v>
      </c>
      <c r="C40" s="83">
        <f aca="true" t="shared" si="18" ref="C40:H40">C36+C38+C39</f>
        <v>1697.7999999999997</v>
      </c>
      <c r="D40" s="83">
        <f t="shared" si="18"/>
        <v>87.8</v>
      </c>
      <c r="E40" s="83">
        <f t="shared" si="18"/>
        <v>1785.6</v>
      </c>
      <c r="F40" s="83">
        <f t="shared" si="18"/>
        <v>0</v>
      </c>
      <c r="G40" s="83">
        <f t="shared" si="18"/>
        <v>181.5</v>
      </c>
      <c r="H40" s="83">
        <f t="shared" si="18"/>
        <v>377.7</v>
      </c>
      <c r="I40" s="97">
        <f t="shared" si="1"/>
        <v>0.2115255376344086</v>
      </c>
      <c r="J40" s="97"/>
      <c r="K40" s="83">
        <f>K36+K38+K39</f>
        <v>402.6</v>
      </c>
      <c r="L40" s="97">
        <f t="shared" si="4"/>
        <v>0.9381520119225036</v>
      </c>
      <c r="M40" s="83">
        <f>M36+M38+M39</f>
        <v>196.20000000000002</v>
      </c>
      <c r="N40" s="83">
        <f>N36+N38+N39</f>
        <v>160.5</v>
      </c>
      <c r="O40" s="97">
        <f t="shared" si="15"/>
        <v>1.222429906542056</v>
      </c>
      <c r="P40" s="83">
        <f>P36+P38+P39</f>
        <v>110.5</v>
      </c>
      <c r="Q40" s="83">
        <f>Q36+Q38+Q39</f>
        <v>110</v>
      </c>
      <c r="R40" s="83">
        <f>R36+R38+R39</f>
        <v>108.9</v>
      </c>
    </row>
    <row r="41" ht="12.75">
      <c r="G41" s="5"/>
    </row>
    <row r="42" ht="12.75">
      <c r="G42" s="6"/>
    </row>
  </sheetData>
  <sheetProtection/>
  <mergeCells count="15">
    <mergeCell ref="A3:A4"/>
    <mergeCell ref="B3:B4"/>
    <mergeCell ref="C3:C4"/>
    <mergeCell ref="E3:E4"/>
    <mergeCell ref="P3:R3"/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1">
      <pane xSplit="2" ySplit="6" topLeftCell="D3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R25" sqref="R25"/>
    </sheetView>
  </sheetViews>
  <sheetFormatPr defaultColWidth="9.00390625" defaultRowHeight="12.75"/>
  <cols>
    <col min="1" max="1" width="40.625" style="0" customWidth="1"/>
    <col min="2" max="2" width="15.375" style="0" customWidth="1"/>
    <col min="3" max="3" width="16.00390625" style="0" customWidth="1"/>
    <col min="4" max="4" width="12.125" style="0" customWidth="1"/>
    <col min="5" max="5" width="15.875" style="0" customWidth="1"/>
    <col min="6" max="6" width="11.25390625" style="0" hidden="1" customWidth="1"/>
    <col min="7" max="8" width="13.875" style="0" customWidth="1"/>
    <col min="9" max="9" width="12.25390625" style="0" customWidth="1"/>
    <col min="10" max="10" width="11.75390625" style="0" hidden="1" customWidth="1"/>
    <col min="11" max="11" width="12.875" style="0" customWidth="1"/>
    <col min="12" max="12" width="14.375" style="0" customWidth="1"/>
    <col min="13" max="13" width="11.875" style="0" customWidth="1"/>
    <col min="14" max="14" width="12.875" style="0" customWidth="1"/>
    <col min="15" max="15" width="13.25390625" style="0" customWidth="1"/>
    <col min="16" max="16" width="11.375" style="0" customWidth="1"/>
    <col min="17" max="17" width="11.25390625" style="0" customWidth="1"/>
    <col min="18" max="18" width="11.75390625" style="0" customWidth="1"/>
  </cols>
  <sheetData>
    <row r="1" spans="1:18" ht="21" customHeight="1">
      <c r="A1" s="149" t="s">
        <v>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</row>
    <row r="2" spans="1:18" ht="14.25" customHeight="1">
      <c r="A2" s="150" t="s">
        <v>120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</row>
    <row r="3" spans="1:18" ht="15.75" customHeight="1">
      <c r="A3" s="152" t="s">
        <v>3</v>
      </c>
      <c r="B3" s="152" t="s">
        <v>4</v>
      </c>
      <c r="C3" s="151" t="s">
        <v>102</v>
      </c>
      <c r="D3" s="151" t="s">
        <v>26</v>
      </c>
      <c r="E3" s="151" t="s">
        <v>103</v>
      </c>
      <c r="F3" s="151" t="s">
        <v>105</v>
      </c>
      <c r="G3" s="151" t="s">
        <v>106</v>
      </c>
      <c r="H3" s="151" t="s">
        <v>104</v>
      </c>
      <c r="I3" s="151"/>
      <c r="J3" s="151"/>
      <c r="K3" s="151" t="s">
        <v>53</v>
      </c>
      <c r="L3" s="151"/>
      <c r="M3" s="151" t="s">
        <v>108</v>
      </c>
      <c r="N3" s="151" t="s">
        <v>109</v>
      </c>
      <c r="O3" s="151" t="s">
        <v>32</v>
      </c>
      <c r="P3" s="151" t="s">
        <v>9</v>
      </c>
      <c r="Q3" s="151"/>
      <c r="R3" s="151"/>
    </row>
    <row r="4" spans="1:18" ht="99" customHeight="1">
      <c r="A4" s="153"/>
      <c r="B4" s="153"/>
      <c r="C4" s="151"/>
      <c r="D4" s="151"/>
      <c r="E4" s="151"/>
      <c r="F4" s="151"/>
      <c r="G4" s="151"/>
      <c r="H4" s="134" t="s">
        <v>107</v>
      </c>
      <c r="I4" s="134" t="s">
        <v>10</v>
      </c>
      <c r="J4" s="134" t="s">
        <v>31</v>
      </c>
      <c r="K4" s="134" t="s">
        <v>107</v>
      </c>
      <c r="L4" s="134" t="s">
        <v>32</v>
      </c>
      <c r="M4" s="151"/>
      <c r="N4" s="151"/>
      <c r="O4" s="151"/>
      <c r="P4" s="132" t="s">
        <v>101</v>
      </c>
      <c r="Q4" s="132" t="s">
        <v>110</v>
      </c>
      <c r="R4" s="132" t="s">
        <v>113</v>
      </c>
    </row>
    <row r="5" spans="1:18" ht="18">
      <c r="A5" s="7" t="s">
        <v>23</v>
      </c>
      <c r="B5" s="17"/>
      <c r="C5" s="100">
        <f aca="true" t="shared" si="0" ref="C5:H5">C6+C11+C16+C22+C26+C27</f>
        <v>47300.9</v>
      </c>
      <c r="D5" s="100">
        <f t="shared" si="0"/>
        <v>-429.09000000000003</v>
      </c>
      <c r="E5" s="131">
        <f t="shared" si="0"/>
        <v>46871.81</v>
      </c>
      <c r="F5" s="100">
        <f t="shared" si="0"/>
        <v>7303.4</v>
      </c>
      <c r="G5" s="100">
        <f t="shared" si="0"/>
        <v>6293.8</v>
      </c>
      <c r="H5" s="127">
        <f t="shared" si="0"/>
        <v>11469.9</v>
      </c>
      <c r="I5" s="101">
        <f>IF(E5&gt;0,H5/E5,0)</f>
        <v>0.2447078531851021</v>
      </c>
      <c r="J5" s="101">
        <f>IF(F5&gt;0,H5/F5,0)</f>
        <v>1.570487718049128</v>
      </c>
      <c r="K5" s="100">
        <f>K6+K11+K16+K22+K26+K27</f>
        <v>10330.499999999998</v>
      </c>
      <c r="L5" s="101">
        <f>IF(K5&gt;0,H5/K5,0)</f>
        <v>1.1102947582401628</v>
      </c>
      <c r="M5" s="100">
        <f>M6+M11+M16+M22+M26+M27</f>
        <v>5176.1</v>
      </c>
      <c r="N5" s="100">
        <f>N6+N11+N16+N22+N26+N27</f>
        <v>3649.9</v>
      </c>
      <c r="O5" s="101">
        <f>IF(N5&gt;0,M5/N5,0)</f>
        <v>1.4181484424230801</v>
      </c>
      <c r="P5" s="127">
        <f>P6+P11+P16+P22+P26+P27</f>
        <v>2673.1</v>
      </c>
      <c r="Q5" s="100">
        <f>Q6+Q11+Q16+Q22+Q26+Q27</f>
        <v>2747.5</v>
      </c>
      <c r="R5" s="100">
        <f>R6+R11+R16+R22+R26+R27</f>
        <v>4400.900000000001</v>
      </c>
    </row>
    <row r="6" spans="1:18" ht="18">
      <c r="A6" s="9" t="s">
        <v>69</v>
      </c>
      <c r="B6" s="18">
        <v>1010200001</v>
      </c>
      <c r="C6" s="102">
        <f aca="true" t="shared" si="1" ref="C6:H6">C7+C8+C9+C10</f>
        <v>23147.500000000004</v>
      </c>
      <c r="D6" s="102">
        <f t="shared" si="1"/>
        <v>-600</v>
      </c>
      <c r="E6" s="102">
        <f t="shared" si="1"/>
        <v>22547.500000000004</v>
      </c>
      <c r="F6" s="102">
        <f t="shared" si="1"/>
        <v>3050</v>
      </c>
      <c r="G6" s="102">
        <f t="shared" si="1"/>
        <v>2572.5000000000005</v>
      </c>
      <c r="H6" s="102">
        <f t="shared" si="1"/>
        <v>4289.2</v>
      </c>
      <c r="I6" s="103">
        <f aca="true" t="shared" si="2" ref="I6:I51">IF(E6&gt;0,H6/E6,0)</f>
        <v>0.19022951546734668</v>
      </c>
      <c r="J6" s="103">
        <f aca="true" t="shared" si="3" ref="J6:J51">IF(F6&gt;0,H6/F6,0)</f>
        <v>1.406295081967213</v>
      </c>
      <c r="K6" s="102">
        <f>K7+K8+K9+K10</f>
        <v>4197.799999999999</v>
      </c>
      <c r="L6" s="103">
        <f aca="true" t="shared" si="4" ref="L6:L51">IF(K6&gt;0,H6/K6,0)</f>
        <v>1.021773309828958</v>
      </c>
      <c r="M6" s="102">
        <f>M7+M8+M9+M10</f>
        <v>1716.7</v>
      </c>
      <c r="N6" s="102">
        <f>N7+N8+N9+N10</f>
        <v>1581.2</v>
      </c>
      <c r="O6" s="103">
        <f aca="true" t="shared" si="5" ref="O6:O51">IF(N6&gt;0,M6/N6,0)</f>
        <v>1.0856944093093852</v>
      </c>
      <c r="P6" s="102">
        <f>P7+P8+P9+P10</f>
        <v>67.49999999999999</v>
      </c>
      <c r="Q6" s="102">
        <f>Q7+Q8+Q9+Q10</f>
        <v>67.1</v>
      </c>
      <c r="R6" s="102">
        <f>R7+R8+R9+R10</f>
        <v>71.6</v>
      </c>
    </row>
    <row r="7" spans="1:18" ht="18" customHeight="1">
      <c r="A7" s="10" t="s">
        <v>44</v>
      </c>
      <c r="B7" s="13">
        <v>1010201001</v>
      </c>
      <c r="C7" s="104">
        <f>муниц!C6+'Лен '!C7+Высокор!C7+Гост!C7+Новотр!C7+Черн!C7</f>
        <v>22965.000000000004</v>
      </c>
      <c r="D7" s="104">
        <f>муниц!D6+'Лен '!D7+Высокор!D7+Гост!D7+Новотр!D7+Черн!D7</f>
        <v>-600</v>
      </c>
      <c r="E7" s="108">
        <f>C7+D7</f>
        <v>22365.000000000004</v>
      </c>
      <c r="F7" s="104">
        <f>муниц!F6+'Лен '!F7+Высокор!F7+Гост!F7+Новотр!F7+Черн!F7</f>
        <v>3042</v>
      </c>
      <c r="G7" s="104">
        <f>муниц!G6+'Лен '!G7+Высокор!G7+Гост!G7+Новотр!G7+Черн!G7</f>
        <v>2569.1000000000004</v>
      </c>
      <c r="H7" s="106">
        <f>G7+M7</f>
        <v>4279</v>
      </c>
      <c r="I7" s="107">
        <f t="shared" si="2"/>
        <v>0.19132573217080256</v>
      </c>
      <c r="J7" s="107">
        <f t="shared" si="3"/>
        <v>1.4066403681788298</v>
      </c>
      <c r="K7" s="104">
        <f>муниц!K6+'Лен '!K7+Высокор!K7+Гост!K7+Новотр!K7+Черн!K7</f>
        <v>4191.099999999999</v>
      </c>
      <c r="L7" s="107">
        <f t="shared" si="4"/>
        <v>1.0209730142444706</v>
      </c>
      <c r="M7" s="104">
        <f>муниц!M6+'Лен '!M7+Высокор!M7+Гост!M7+Новотр!M7+Черн!M7</f>
        <v>1709.9</v>
      </c>
      <c r="N7" s="104">
        <f>муниц!N6+'Лен '!N7+Высокор!N7+Гост!N7+Новотр!N7+Черн!N7</f>
        <v>1576.3</v>
      </c>
      <c r="O7" s="107">
        <f t="shared" si="5"/>
        <v>1.0847554399543236</v>
      </c>
      <c r="P7" s="104">
        <f>муниц!P6+'Лен '!P7+Высокор!P7+Гост!P7+Новотр!P7+Черн!P7</f>
        <v>59.49999999999999</v>
      </c>
      <c r="Q7" s="104">
        <f>муниц!Q6+'Лен '!Q7+Высокор!Q7+Гост!Q7+Новотр!Q7+Черн!Q7</f>
        <v>59.49999999999999</v>
      </c>
      <c r="R7" s="104">
        <f>муниц!R6+'Лен '!R7+Высокор!R7+Гост!R7+Новотр!R7+Черн!R7</f>
        <v>63.99999999999999</v>
      </c>
    </row>
    <row r="8" spans="1:18" ht="18.75" customHeight="1">
      <c r="A8" s="10" t="s">
        <v>45</v>
      </c>
      <c r="B8" s="13">
        <v>1010202001</v>
      </c>
      <c r="C8" s="104">
        <f>муниц!C7+'Лен '!C8+Высокор!C8+Гост!C8+Новотр!C8+Черн!C8</f>
        <v>40.1</v>
      </c>
      <c r="D8" s="104">
        <f>муниц!D7+'Лен '!D8+Высокор!D8+Гост!D8+Новотр!D8+Черн!D8</f>
        <v>0</v>
      </c>
      <c r="E8" s="108">
        <f>C8+D8</f>
        <v>40.1</v>
      </c>
      <c r="F8" s="104">
        <f>муниц!F7+'Лен '!F8+Высокор!F8+Гост!F8+Новотр!F8+Черн!F8</f>
        <v>0</v>
      </c>
      <c r="G8" s="104">
        <f>муниц!G7+'Лен '!G8+Высокор!G8+Гост!G8+Новотр!G8+Черн!G8</f>
        <v>0</v>
      </c>
      <c r="H8" s="106">
        <f>G8+M8</f>
        <v>0</v>
      </c>
      <c r="I8" s="107">
        <f t="shared" si="2"/>
        <v>0</v>
      </c>
      <c r="J8" s="107">
        <f t="shared" si="3"/>
        <v>0</v>
      </c>
      <c r="K8" s="104">
        <f>муниц!K7+'Лен '!K8+Высокор!K8+Гост!K8+Новотр!K8+Черн!K8</f>
        <v>0.2</v>
      </c>
      <c r="L8" s="107">
        <f t="shared" si="4"/>
        <v>0</v>
      </c>
      <c r="M8" s="104">
        <f>муниц!M7+'Лен '!M8+Высокор!M8+Гост!M8+Новотр!M8+Черн!M8</f>
        <v>0</v>
      </c>
      <c r="N8" s="104">
        <f>муниц!N7+'Лен '!N8+Высокор!N8+Гост!N8+Новотр!N8+Черн!N8</f>
        <v>0</v>
      </c>
      <c r="O8" s="107">
        <f t="shared" si="5"/>
        <v>0</v>
      </c>
      <c r="P8" s="104">
        <f>муниц!P7+'Лен '!P8+Высокор!P8+Гост!P8+Новотр!P8+Черн!P8</f>
        <v>6.2</v>
      </c>
      <c r="Q8" s="104">
        <f>муниц!Q7+'Лен '!Q8+Высокор!Q8+Гост!Q8+Новотр!Q8+Черн!Q8</f>
        <v>6.2</v>
      </c>
      <c r="R8" s="104">
        <f>муниц!R7+'Лен '!R8+Высокор!R8+Гост!R8+Новотр!R8+Черн!R8</f>
        <v>6.2</v>
      </c>
    </row>
    <row r="9" spans="1:18" ht="18">
      <c r="A9" s="10" t="s">
        <v>46</v>
      </c>
      <c r="B9" s="13">
        <v>1010203001</v>
      </c>
      <c r="C9" s="104">
        <f>муниц!C8+'Лен '!C9+Высокор!C9+Гост!C9+Новотр!C9+Черн!C9</f>
        <v>140.2</v>
      </c>
      <c r="D9" s="104">
        <f>муниц!D8+'Лен '!D9+Высокор!D9+Гост!D9+Новотр!D9+Черн!D9</f>
        <v>0</v>
      </c>
      <c r="E9" s="108">
        <f>C9+D9</f>
        <v>140.2</v>
      </c>
      <c r="F9" s="104">
        <f>муниц!F8+'Лен '!F9+Высокор!F9+Гост!F9+Новотр!F9+Черн!F9</f>
        <v>2</v>
      </c>
      <c r="G9" s="104">
        <f>муниц!G8+'Лен '!G9+Высокор!G9+Гост!G9+Новотр!G9+Черн!G9</f>
        <v>2.8000000000000003</v>
      </c>
      <c r="H9" s="106">
        <f>G9+M9</f>
        <v>2.8000000000000003</v>
      </c>
      <c r="I9" s="107">
        <f t="shared" si="2"/>
        <v>0.019971469329529246</v>
      </c>
      <c r="J9" s="107">
        <f t="shared" si="3"/>
        <v>1.4000000000000001</v>
      </c>
      <c r="K9" s="104">
        <f>муниц!K8+'Лен '!K9+Высокор!K9+Гост!K9+Новотр!K9+Черн!K9</f>
        <v>6.3999999999999995</v>
      </c>
      <c r="L9" s="107">
        <f t="shared" si="4"/>
        <v>0.43750000000000006</v>
      </c>
      <c r="M9" s="104">
        <f>муниц!M8+'Лен '!M9+Высокор!M9+Гост!M9+Новотр!M9+Черн!M9</f>
        <v>0</v>
      </c>
      <c r="N9" s="104">
        <f>муниц!N8+'Лен '!N9+Высокор!N9+Гост!N9+Новотр!N9+Черн!N9</f>
        <v>4.8999999999999995</v>
      </c>
      <c r="O9" s="107">
        <f t="shared" si="5"/>
        <v>0</v>
      </c>
      <c r="P9" s="104">
        <f>муниц!P8+'Лен '!P9+Высокор!P9+Гост!P9+Новотр!P9+Черн!P9</f>
        <v>1.8</v>
      </c>
      <c r="Q9" s="104">
        <f>муниц!Q8+'Лен '!Q9+Высокор!Q9+Гост!Q9+Новотр!Q9+Черн!Q9</f>
        <v>1.4</v>
      </c>
      <c r="R9" s="104">
        <f>муниц!R8+'Лен '!R9+Высокор!R9+Гост!R9+Новотр!R9+Черн!R9</f>
        <v>1.4</v>
      </c>
    </row>
    <row r="10" spans="1:18" ht="18">
      <c r="A10" s="10" t="s">
        <v>36</v>
      </c>
      <c r="B10" s="13">
        <v>1010204001</v>
      </c>
      <c r="C10" s="104">
        <f>муниц!C9</f>
        <v>2.2</v>
      </c>
      <c r="D10" s="104">
        <f>муниц!D9</f>
        <v>0</v>
      </c>
      <c r="E10" s="108">
        <f>C10+D10</f>
        <v>2.2</v>
      </c>
      <c r="F10" s="104">
        <f>муниц!F9</f>
        <v>6</v>
      </c>
      <c r="G10" s="104">
        <f>муниц!G9+Гост!G10</f>
        <v>0.6</v>
      </c>
      <c r="H10" s="106">
        <f>G10+M10</f>
        <v>7.3999999999999995</v>
      </c>
      <c r="I10" s="107">
        <f t="shared" si="2"/>
        <v>3.3636363636363633</v>
      </c>
      <c r="J10" s="107">
        <f t="shared" si="3"/>
        <v>1.2333333333333332</v>
      </c>
      <c r="K10" s="104">
        <f>муниц!K9</f>
        <v>0.1</v>
      </c>
      <c r="L10" s="107">
        <f t="shared" si="4"/>
        <v>73.99999999999999</v>
      </c>
      <c r="M10" s="104">
        <f>муниц!M9+Гост!M10</f>
        <v>6.8</v>
      </c>
      <c r="N10" s="104">
        <f>муниц!N9</f>
        <v>0</v>
      </c>
      <c r="O10" s="107">
        <f t="shared" si="5"/>
        <v>0</v>
      </c>
      <c r="P10" s="104">
        <f>муниц!P9</f>
        <v>0</v>
      </c>
      <c r="Q10" s="104">
        <f>муниц!Q9</f>
        <v>0</v>
      </c>
      <c r="R10" s="104">
        <f>муниц!R9</f>
        <v>0</v>
      </c>
    </row>
    <row r="11" spans="1:18" ht="18" customHeight="1">
      <c r="A11" s="11" t="s">
        <v>54</v>
      </c>
      <c r="B11" s="19">
        <v>1030200001</v>
      </c>
      <c r="C11" s="109">
        <f aca="true" t="shared" si="6" ref="C11:H11">SUM(C12:C15)</f>
        <v>6633.4</v>
      </c>
      <c r="D11" s="109">
        <f t="shared" si="6"/>
        <v>0</v>
      </c>
      <c r="E11" s="109">
        <f t="shared" si="6"/>
        <v>6633.4</v>
      </c>
      <c r="F11" s="109">
        <f t="shared" si="6"/>
        <v>0</v>
      </c>
      <c r="G11" s="109">
        <f t="shared" si="6"/>
        <v>1012.5999999999999</v>
      </c>
      <c r="H11" s="109">
        <f t="shared" si="6"/>
        <v>2374.2</v>
      </c>
      <c r="I11" s="103">
        <f t="shared" si="2"/>
        <v>0.3579160008442126</v>
      </c>
      <c r="J11" s="103">
        <f t="shared" si="3"/>
        <v>0</v>
      </c>
      <c r="K11" s="109">
        <f>SUM(K12:K15)</f>
        <v>2068.6000000000004</v>
      </c>
      <c r="L11" s="103">
        <f t="shared" si="4"/>
        <v>1.1477327661220147</v>
      </c>
      <c r="M11" s="109">
        <f>SUM(M12:M15)</f>
        <v>1361.6</v>
      </c>
      <c r="N11" s="109">
        <f>SUM(N12:N15)</f>
        <v>721.1000000000001</v>
      </c>
      <c r="O11" s="103">
        <f t="shared" si="5"/>
        <v>1.8882263208986265</v>
      </c>
      <c r="P11" s="109">
        <f>SUM(P12:P15)</f>
        <v>0</v>
      </c>
      <c r="Q11" s="109">
        <f>SUM(Q12:Q15)</f>
        <v>0</v>
      </c>
      <c r="R11" s="109">
        <f>SUM(R12:R15)</f>
        <v>0</v>
      </c>
    </row>
    <row r="12" spans="1:18" ht="18">
      <c r="A12" s="12" t="s">
        <v>55</v>
      </c>
      <c r="B12" s="12">
        <v>1030223001</v>
      </c>
      <c r="C12" s="104">
        <f>муниц!C11+'Лен '!C11+Высокор!C12+Гост!C12+Новотр!C12+Черн!C12</f>
        <v>2075.8</v>
      </c>
      <c r="D12" s="104">
        <f>муниц!D11+'Лен '!D11+Высокор!D12+Гост!D12+Новотр!D12+Черн!D12</f>
        <v>0</v>
      </c>
      <c r="E12" s="108">
        <f>C12+D12</f>
        <v>2075.8</v>
      </c>
      <c r="F12" s="104">
        <f>муниц!F11+'Лен '!F11+Высокор!F12+Гост!F12+Новотр!F12+Черн!F12</f>
        <v>0</v>
      </c>
      <c r="G12" s="104">
        <f>муниц!G11+'Лен '!G11+Высокор!G12+Гост!G12+Новотр!G12+Черн!G12</f>
        <v>381.7</v>
      </c>
      <c r="H12" s="106">
        <f>G12+M12</f>
        <v>802.7</v>
      </c>
      <c r="I12" s="107">
        <f t="shared" si="2"/>
        <v>0.3866942865401291</v>
      </c>
      <c r="J12" s="107">
        <f t="shared" si="3"/>
        <v>0</v>
      </c>
      <c r="K12" s="104">
        <f>муниц!K11+'Лен '!K11+Высокор!K12+Гост!K12+Новотр!K12+Черн!K12</f>
        <v>818.6</v>
      </c>
      <c r="L12" s="107">
        <f t="shared" si="4"/>
        <v>0.9805765941851943</v>
      </c>
      <c r="M12" s="104">
        <f>муниц!M11+'Лен '!M11+Высокор!M12+Гост!M12+Новотр!M12+Черн!M12</f>
        <v>421</v>
      </c>
      <c r="N12" s="104">
        <f>муниц!N11+'Лен '!N11+Высокор!N12+Гост!N12+Новотр!N12+Черн!N12</f>
        <v>296.1000000000001</v>
      </c>
      <c r="O12" s="107">
        <f t="shared" si="5"/>
        <v>1.421816953731847</v>
      </c>
      <c r="P12" s="104">
        <f>муниц!P11+'Лен '!P11+Высокор!P12+Гост!P12+Новотр!P12+Черн!P12</f>
        <v>0</v>
      </c>
      <c r="Q12" s="104">
        <f>муниц!Q11+'Лен '!Q11+Высокор!Q12+Гост!Q12+Новотр!Q12+Черн!Q12</f>
        <v>0</v>
      </c>
      <c r="R12" s="104">
        <f>муниц!R11+'Лен '!R11+Высокор!R12+Гост!R12+Новотр!R12+Черн!R12</f>
        <v>0</v>
      </c>
    </row>
    <row r="13" spans="1:18" ht="18">
      <c r="A13" s="12" t="s">
        <v>56</v>
      </c>
      <c r="B13" s="12">
        <v>1030224001</v>
      </c>
      <c r="C13" s="104">
        <f>муниц!C12+'Лен '!C12+Высокор!C13+Гост!C13+Новотр!C13+Черн!C13</f>
        <v>68.6</v>
      </c>
      <c r="D13" s="104">
        <f>муниц!D12+'Лен '!D12+Высокор!D13+Гост!D13+Новотр!D13+Черн!D13</f>
        <v>0</v>
      </c>
      <c r="E13" s="108">
        <f>C13+D13</f>
        <v>68.6</v>
      </c>
      <c r="F13" s="104">
        <f>муниц!F12+'Лен '!F12+Высокор!F13+Гост!F13+Новотр!F13+Черн!F13</f>
        <v>0</v>
      </c>
      <c r="G13" s="104">
        <f>муниц!G12+'Лен '!G12+Высокор!G13+Гост!G13+Новотр!G13+Черн!G13</f>
        <v>9.000000000000002</v>
      </c>
      <c r="H13" s="106">
        <f>G13+M13</f>
        <v>18</v>
      </c>
      <c r="I13" s="107">
        <f t="shared" si="2"/>
        <v>0.2623906705539359</v>
      </c>
      <c r="J13" s="107">
        <f t="shared" si="3"/>
        <v>0</v>
      </c>
      <c r="K13" s="104">
        <f>муниц!K12+'Лен '!K12+Высокор!K13+Гост!K13+Новотр!K13+Черн!K13</f>
        <v>13</v>
      </c>
      <c r="L13" s="107">
        <f t="shared" si="4"/>
        <v>1.3846153846153846</v>
      </c>
      <c r="M13" s="104">
        <f>муниц!M12+'Лен '!M12+Высокор!M13+Гост!M13+Новотр!M13+Черн!M13</f>
        <v>9</v>
      </c>
      <c r="N13" s="104">
        <f>муниц!N12+'Лен '!N12+Высокор!N13+Гост!N13+Новотр!N13+Черн!N13</f>
        <v>5.099999999999999</v>
      </c>
      <c r="O13" s="107">
        <f t="shared" si="5"/>
        <v>1.7647058823529416</v>
      </c>
      <c r="P13" s="104">
        <f>муниц!P12+'Лен '!P12+Высокор!P13+Гост!P13+Новотр!P13+Черн!P13</f>
        <v>0</v>
      </c>
      <c r="Q13" s="104">
        <f>муниц!Q12+'Лен '!Q12+Высокор!Q13+Гост!Q13+Новотр!Q13+Черн!Q13</f>
        <v>0</v>
      </c>
      <c r="R13" s="104">
        <f>муниц!R12+'Лен '!R12+Высокор!R13+Гост!R13+Новотр!R13+Черн!R13</f>
        <v>0</v>
      </c>
    </row>
    <row r="14" spans="1:18" ht="18" customHeight="1">
      <c r="A14" s="12" t="s">
        <v>57</v>
      </c>
      <c r="B14" s="12">
        <v>1030225001</v>
      </c>
      <c r="C14" s="104">
        <f>муниц!C13+'Лен '!C13+Высокор!C14+Гост!C14+Новотр!C14+Черн!C14</f>
        <v>4356.1</v>
      </c>
      <c r="D14" s="104">
        <f>муниц!D13+'Лен '!D13+Высокор!D14+Гост!D14+Новотр!D14+Черн!D14</f>
        <v>0</v>
      </c>
      <c r="E14" s="108">
        <f>C14+D14</f>
        <v>4356.1</v>
      </c>
      <c r="F14" s="104">
        <f>муниц!F13+'Лен '!F13+Высокор!F14+Гост!F14+Новотр!F14+Черн!F14</f>
        <v>0</v>
      </c>
      <c r="G14" s="104">
        <f>муниц!G13+'Лен '!G13+Высокор!G14+Гост!G14+Новотр!G14+Черн!G14</f>
        <v>664.0999999999999</v>
      </c>
      <c r="H14" s="106">
        <f>G14+M14</f>
        <v>1605.7999999999997</v>
      </c>
      <c r="I14" s="107">
        <f t="shared" si="2"/>
        <v>0.36863249236702544</v>
      </c>
      <c r="J14" s="107">
        <f t="shared" si="3"/>
        <v>0</v>
      </c>
      <c r="K14" s="104">
        <f>муниц!K13+'Лен '!K13+Высокор!K14+Гост!K14+Новотр!K14+Черн!K14</f>
        <v>1237.0000000000002</v>
      </c>
      <c r="L14" s="107">
        <f t="shared" si="4"/>
        <v>1.2981406628940981</v>
      </c>
      <c r="M14" s="104">
        <f>муниц!M13+'Лен '!M13+Высокор!M14+Гост!M14+Новотр!M14+Черн!M14</f>
        <v>941.6999999999998</v>
      </c>
      <c r="N14" s="104">
        <f>муниц!N13+'Лен '!N13+Высокор!N14+Гост!N14+Новотр!N14+Черн!N14</f>
        <v>419.9</v>
      </c>
      <c r="O14" s="107">
        <f t="shared" si="5"/>
        <v>2.242676827816146</v>
      </c>
      <c r="P14" s="104">
        <f>муниц!P13+'Лен '!P13+Высокор!P14+Гост!P14+Новотр!P14+Черн!P14</f>
        <v>0</v>
      </c>
      <c r="Q14" s="104">
        <f>муниц!Q13+'Лен '!Q13+Высокор!Q14+Гост!Q14+Новотр!Q14+Черн!Q14</f>
        <v>0</v>
      </c>
      <c r="R14" s="104">
        <f>муниц!R13+'Лен '!R13+Высокор!R14+Гост!R14+Новотр!R14+Черн!R14</f>
        <v>0</v>
      </c>
    </row>
    <row r="15" spans="1:18" ht="18">
      <c r="A15" s="12" t="s">
        <v>58</v>
      </c>
      <c r="B15" s="12">
        <v>1030226001</v>
      </c>
      <c r="C15" s="104">
        <f>муниц!C14+'Лен '!C14+Высокор!C15+Гост!C15+Новотр!C15+Черн!C15</f>
        <v>132.9</v>
      </c>
      <c r="D15" s="104">
        <f>муниц!D14+'Лен '!D14+Высокор!D15+Гост!D15+Новотр!D15+Черн!D15</f>
        <v>0</v>
      </c>
      <c r="E15" s="108">
        <f>C15+D15</f>
        <v>132.9</v>
      </c>
      <c r="F15" s="104">
        <f>муниц!F14+'Лен '!F14+Высокор!F15+Гост!F15+Новотр!F15+Черн!F15</f>
        <v>0</v>
      </c>
      <c r="G15" s="104">
        <f>муниц!G14+'Лен '!G14+Высокор!G15+Гост!G15+Новотр!G15+Черн!G15</f>
        <v>-42.199999999999996</v>
      </c>
      <c r="H15" s="106">
        <f>G15+M15</f>
        <v>-52.3</v>
      </c>
      <c r="I15" s="107">
        <f t="shared" si="2"/>
        <v>-0.3935289691497366</v>
      </c>
      <c r="J15" s="107">
        <f t="shared" si="3"/>
        <v>0</v>
      </c>
      <c r="K15" s="104">
        <f>муниц!K14+'Лен '!K14+Высокор!K15+Гост!K15+Новотр!K15+Черн!K15</f>
        <v>0</v>
      </c>
      <c r="L15" s="107">
        <f t="shared" si="4"/>
        <v>0</v>
      </c>
      <c r="M15" s="104">
        <f>муниц!M14+'Лен '!M14+Высокор!M15+Гост!M15+Новотр!M15+Черн!M15</f>
        <v>-10.1</v>
      </c>
      <c r="N15" s="104">
        <f>муниц!N14+'Лен '!N14+Высокор!N15+Гост!N15+Новотр!N15+Черн!N15</f>
        <v>0</v>
      </c>
      <c r="O15" s="107">
        <f t="shared" si="5"/>
        <v>0</v>
      </c>
      <c r="P15" s="104">
        <f>муниц!P14+'Лен '!P14+Высокор!P15+Гост!P15+Новотр!P15+Черн!P15</f>
        <v>0</v>
      </c>
      <c r="Q15" s="104">
        <f>муниц!Q14+'Лен '!Q14+Высокор!Q15+Гост!Q15+Новотр!Q15+Черн!Q15</f>
        <v>0</v>
      </c>
      <c r="R15" s="104">
        <f>муниц!R14+'Лен '!R14+Высокор!R15+Гост!R15+Новотр!R15+Черн!R15</f>
        <v>0</v>
      </c>
    </row>
    <row r="16" spans="1:18" ht="18">
      <c r="A16" s="9" t="s">
        <v>88</v>
      </c>
      <c r="B16" s="18">
        <v>1050000000</v>
      </c>
      <c r="C16" s="102">
        <f aca="true" t="shared" si="7" ref="C16:H16">C17+C18+C19+C20+C21</f>
        <v>12126.6</v>
      </c>
      <c r="D16" s="102">
        <f t="shared" si="7"/>
        <v>0</v>
      </c>
      <c r="E16" s="102">
        <f t="shared" si="7"/>
        <v>12126.6</v>
      </c>
      <c r="F16" s="102">
        <f t="shared" si="7"/>
        <v>3751.4</v>
      </c>
      <c r="G16" s="102">
        <f t="shared" si="7"/>
        <v>2231.2999999999997</v>
      </c>
      <c r="H16" s="102">
        <f t="shared" si="7"/>
        <v>3761.4</v>
      </c>
      <c r="I16" s="103">
        <f t="shared" si="2"/>
        <v>0.3101776260452229</v>
      </c>
      <c r="J16" s="103">
        <f t="shared" si="3"/>
        <v>1.0026656714826465</v>
      </c>
      <c r="K16" s="102">
        <f>K17+K18+K19+K20+K21</f>
        <v>2783.5</v>
      </c>
      <c r="L16" s="103">
        <f t="shared" si="4"/>
        <v>1.351320280222741</v>
      </c>
      <c r="M16" s="102">
        <f>M17+M18+M19+M20+M21</f>
        <v>1530.1</v>
      </c>
      <c r="N16" s="102">
        <f>N17+N18+N19+N20+N21</f>
        <v>1052.3999999999999</v>
      </c>
      <c r="O16" s="103">
        <f t="shared" si="5"/>
        <v>1.4539148612694794</v>
      </c>
      <c r="P16" s="102">
        <f>P17+P18+P19+P20+P21</f>
        <v>650.6</v>
      </c>
      <c r="Q16" s="102">
        <f>Q17+Q18+Q19+Q20+Q21</f>
        <v>601.3000000000001</v>
      </c>
      <c r="R16" s="102">
        <f>R17+R18+R19+R20+R21</f>
        <v>2408.2000000000003</v>
      </c>
    </row>
    <row r="17" spans="1:18" ht="18">
      <c r="A17" s="10" t="s">
        <v>59</v>
      </c>
      <c r="B17" s="28">
        <v>1050101001</v>
      </c>
      <c r="C17" s="104">
        <f>муниц!C16</f>
        <v>5804.2</v>
      </c>
      <c r="D17" s="104">
        <f>муниц!D16</f>
        <v>0</v>
      </c>
      <c r="E17" s="108">
        <f>C17+D17</f>
        <v>5804.2</v>
      </c>
      <c r="F17" s="104">
        <f>муниц!F16</f>
        <v>2231</v>
      </c>
      <c r="G17" s="104">
        <f>муниц!G16</f>
        <v>982.6</v>
      </c>
      <c r="H17" s="106">
        <f>G17+M17</f>
        <v>2234.8</v>
      </c>
      <c r="I17" s="107">
        <f t="shared" si="2"/>
        <v>0.38503152889287073</v>
      </c>
      <c r="J17" s="107">
        <f t="shared" si="3"/>
        <v>1.0017032720753027</v>
      </c>
      <c r="K17" s="104">
        <f>муниц!K16</f>
        <v>1535.7</v>
      </c>
      <c r="L17" s="107">
        <f t="shared" si="4"/>
        <v>1.4552321416943415</v>
      </c>
      <c r="M17" s="104">
        <f>муниц!M16</f>
        <v>1252.2</v>
      </c>
      <c r="N17" s="104">
        <f>муниц!N16</f>
        <v>917.6</v>
      </c>
      <c r="O17" s="107">
        <f t="shared" si="5"/>
        <v>1.3646469049694856</v>
      </c>
      <c r="P17" s="104">
        <f>муниц!P16</f>
        <v>475.8</v>
      </c>
      <c r="Q17" s="104">
        <f>муниц!Q16</f>
        <v>494.3</v>
      </c>
      <c r="R17" s="104">
        <f>муниц!R16</f>
        <v>2054.9</v>
      </c>
    </row>
    <row r="18" spans="1:18" ht="18">
      <c r="A18" s="10" t="s">
        <v>60</v>
      </c>
      <c r="B18" s="28">
        <v>1050102001</v>
      </c>
      <c r="C18" s="104">
        <f>муниц!C17</f>
        <v>2313</v>
      </c>
      <c r="D18" s="104">
        <f>муниц!D17</f>
        <v>0</v>
      </c>
      <c r="E18" s="108">
        <f>C18+D18</f>
        <v>2313</v>
      </c>
      <c r="F18" s="104">
        <f>муниц!F17</f>
        <v>259</v>
      </c>
      <c r="G18" s="104">
        <f>муниц!G17</f>
        <v>20</v>
      </c>
      <c r="H18" s="106">
        <f>G18+M18</f>
        <v>259.1</v>
      </c>
      <c r="I18" s="107">
        <f t="shared" si="2"/>
        <v>0.11201902291396455</v>
      </c>
      <c r="J18" s="107">
        <f t="shared" si="3"/>
        <v>1.0003861003861005</v>
      </c>
      <c r="K18" s="104">
        <f>муниц!K17</f>
        <v>168.9</v>
      </c>
      <c r="L18" s="107">
        <f t="shared" si="4"/>
        <v>1.5340438129070457</v>
      </c>
      <c r="M18" s="104">
        <f>муниц!M17</f>
        <v>239.1</v>
      </c>
      <c r="N18" s="104">
        <f>муниц!N17</f>
        <v>105.8</v>
      </c>
      <c r="O18" s="107">
        <f t="shared" si="5"/>
        <v>2.2599243856332705</v>
      </c>
      <c r="P18" s="104">
        <f>муниц!P17</f>
        <v>46.7</v>
      </c>
      <c r="Q18" s="104">
        <f>муниц!Q17</f>
        <v>46.8</v>
      </c>
      <c r="R18" s="104">
        <f>муниц!R17</f>
        <v>276.3</v>
      </c>
    </row>
    <row r="19" spans="1:18" ht="18">
      <c r="A19" s="13" t="s">
        <v>0</v>
      </c>
      <c r="B19" s="28">
        <v>1050200001</v>
      </c>
      <c r="C19" s="104">
        <f>муниц!C18</f>
        <v>3919.5</v>
      </c>
      <c r="D19" s="104">
        <f>муниц!D18</f>
        <v>0</v>
      </c>
      <c r="E19" s="108">
        <f>C19+D19</f>
        <v>3919.5</v>
      </c>
      <c r="F19" s="104">
        <f>муниц!F18</f>
        <v>1191</v>
      </c>
      <c r="G19" s="104">
        <f>муниц!G18</f>
        <v>1170</v>
      </c>
      <c r="H19" s="106">
        <f>G19+M19</f>
        <v>1191.5</v>
      </c>
      <c r="I19" s="107">
        <f t="shared" si="2"/>
        <v>0.3039928562316622</v>
      </c>
      <c r="J19" s="107">
        <f t="shared" si="3"/>
        <v>1.0004198152812762</v>
      </c>
      <c r="K19" s="104">
        <f>муниц!K18</f>
        <v>992.3</v>
      </c>
      <c r="L19" s="107">
        <f t="shared" si="4"/>
        <v>1.200745742215056</v>
      </c>
      <c r="M19" s="104">
        <f>муниц!M18</f>
        <v>21.5</v>
      </c>
      <c r="N19" s="104">
        <f>муниц!N18</f>
        <v>4.4</v>
      </c>
      <c r="O19" s="107">
        <f t="shared" si="5"/>
        <v>4.886363636363636</v>
      </c>
      <c r="P19" s="104">
        <f>муниц!P18</f>
        <v>128.1</v>
      </c>
      <c r="Q19" s="104">
        <f>муниц!Q18</f>
        <v>41</v>
      </c>
      <c r="R19" s="104">
        <f>муниц!R18</f>
        <v>24.5</v>
      </c>
    </row>
    <row r="20" spans="1:18" ht="18">
      <c r="A20" s="13" t="s">
        <v>7</v>
      </c>
      <c r="B20" s="28">
        <v>1050300001</v>
      </c>
      <c r="C20" s="104">
        <f>муниц!C19+'Лен '!C16+Высокор!C17+Гост!C17+Новотр!C17+Черн!C17</f>
        <v>22</v>
      </c>
      <c r="D20" s="104">
        <f>муниц!D19+'Лен '!D16+Высокор!D17+Гост!D17+Новотр!D17+Черн!D17</f>
        <v>0</v>
      </c>
      <c r="E20" s="108">
        <f>C20+D20</f>
        <v>22</v>
      </c>
      <c r="F20" s="104">
        <f>муниц!F19+'Лен '!F16+Высокор!F17+Гост!F17+Новотр!F17+Черн!F17</f>
        <v>5.4</v>
      </c>
      <c r="G20" s="104">
        <f>муниц!G19+'Лен '!G16+Высокор!G17+Гост!G17+Новотр!G17+Черн!G17</f>
        <v>0</v>
      </c>
      <c r="H20" s="106">
        <f>G20+M20</f>
        <v>10.8</v>
      </c>
      <c r="I20" s="107">
        <f t="shared" si="2"/>
        <v>0.49090909090909096</v>
      </c>
      <c r="J20" s="107">
        <f t="shared" si="3"/>
        <v>2</v>
      </c>
      <c r="K20" s="104">
        <f>муниц!K19+'Лен '!K16+Высокор!K17+Гост!K17+Новотр!K17+Черн!K17</f>
        <v>0</v>
      </c>
      <c r="L20" s="107">
        <f t="shared" si="4"/>
        <v>0</v>
      </c>
      <c r="M20" s="104">
        <f>муниц!M19+'Лен '!M16+Высокор!M17+Гост!M17+Новотр!M17+Черн!M17</f>
        <v>10.8</v>
      </c>
      <c r="N20" s="104">
        <f>муниц!N19+'Лен '!N16+Высокор!N17+Гост!N17+Новотр!N17+Черн!N17</f>
        <v>0</v>
      </c>
      <c r="O20" s="107">
        <f t="shared" si="5"/>
        <v>0</v>
      </c>
      <c r="P20" s="104">
        <f>муниц!P19+'Лен '!P16+Высокор!P17+Гост!P17+Новотр!P17+Черн!P17</f>
        <v>0</v>
      </c>
      <c r="Q20" s="104">
        <f>муниц!Q19+'Лен '!Q16+Высокор!Q17+Гост!Q17+Новотр!Q17+Черн!Q17</f>
        <v>19.2</v>
      </c>
      <c r="R20" s="104">
        <f>муниц!R19+'Лен '!R16+Высокор!R17+Гост!R17+Новотр!R17+Черн!R17</f>
        <v>52.5</v>
      </c>
    </row>
    <row r="21" spans="1:18" ht="18">
      <c r="A21" s="10" t="s">
        <v>35</v>
      </c>
      <c r="B21" s="28">
        <v>1050402002</v>
      </c>
      <c r="C21" s="104">
        <f>муниц!C20</f>
        <v>67.9</v>
      </c>
      <c r="D21" s="104">
        <f>муниц!D20</f>
        <v>0</v>
      </c>
      <c r="E21" s="108">
        <f>C21+D21</f>
        <v>67.9</v>
      </c>
      <c r="F21" s="104">
        <f>муниц!F20</f>
        <v>65</v>
      </c>
      <c r="G21" s="104">
        <f>муниц!G20</f>
        <v>58.7</v>
      </c>
      <c r="H21" s="106">
        <f>G21+M21</f>
        <v>65.2</v>
      </c>
      <c r="I21" s="107">
        <f t="shared" si="2"/>
        <v>0.9602356406480117</v>
      </c>
      <c r="J21" s="107">
        <f t="shared" si="3"/>
        <v>1.0030769230769232</v>
      </c>
      <c r="K21" s="104">
        <f>муниц!K20</f>
        <v>86.6</v>
      </c>
      <c r="L21" s="107">
        <f t="shared" si="4"/>
        <v>0.7528868360277137</v>
      </c>
      <c r="M21" s="104">
        <f>муниц!M20</f>
        <v>6.5</v>
      </c>
      <c r="N21" s="104">
        <f>муниц!N20</f>
        <v>24.6</v>
      </c>
      <c r="O21" s="107">
        <f t="shared" si="5"/>
        <v>0.26422764227642276</v>
      </c>
      <c r="P21" s="104">
        <f>муниц!P20</f>
        <v>0</v>
      </c>
      <c r="Q21" s="104">
        <f>муниц!Q20</f>
        <v>0</v>
      </c>
      <c r="R21" s="104">
        <f>муниц!R20</f>
        <v>0</v>
      </c>
    </row>
    <row r="22" spans="1:18" ht="18">
      <c r="A22" s="9" t="s">
        <v>86</v>
      </c>
      <c r="B22" s="18">
        <v>1060000000</v>
      </c>
      <c r="C22" s="110">
        <f aca="true" t="shared" si="8" ref="C22:H22">C23+C24+C25</f>
        <v>4977.9</v>
      </c>
      <c r="D22" s="110">
        <f t="shared" si="8"/>
        <v>170.91</v>
      </c>
      <c r="E22" s="110">
        <f t="shared" si="8"/>
        <v>5148.8099999999995</v>
      </c>
      <c r="F22" s="110">
        <f t="shared" si="8"/>
        <v>393</v>
      </c>
      <c r="G22" s="110">
        <f t="shared" si="8"/>
        <v>395.3</v>
      </c>
      <c r="H22" s="110">
        <f t="shared" si="8"/>
        <v>930.9000000000001</v>
      </c>
      <c r="I22" s="103">
        <f t="shared" si="2"/>
        <v>0.1807990584232085</v>
      </c>
      <c r="J22" s="103">
        <f t="shared" si="3"/>
        <v>2.368702290076336</v>
      </c>
      <c r="K22" s="110">
        <f>K23+K24+K25</f>
        <v>1158.8</v>
      </c>
      <c r="L22" s="103">
        <f t="shared" si="4"/>
        <v>0.8033310321021748</v>
      </c>
      <c r="M22" s="110">
        <f>M23+M24+M25</f>
        <v>535.5999999999999</v>
      </c>
      <c r="N22" s="110">
        <f>N23+N24+N25</f>
        <v>261.4</v>
      </c>
      <c r="O22" s="103">
        <f t="shared" si="5"/>
        <v>2.0489671002295333</v>
      </c>
      <c r="P22" s="102">
        <f>P23+P24+P25</f>
        <v>1955</v>
      </c>
      <c r="Q22" s="110">
        <f>Q23+Q24+Q25</f>
        <v>2079.1</v>
      </c>
      <c r="R22" s="110">
        <f>R23+R24+R25</f>
        <v>1921.1000000000001</v>
      </c>
    </row>
    <row r="23" spans="1:18" ht="18">
      <c r="A23" s="13" t="s">
        <v>17</v>
      </c>
      <c r="B23" s="13">
        <v>1060103003</v>
      </c>
      <c r="C23" s="104">
        <f>'Лен '!C21+Высокор!C22+Гост!C22+Новотр!C22+Черн!C22</f>
        <v>1211.3999999999999</v>
      </c>
      <c r="D23" s="104">
        <f>'Лен '!D21+Высокор!D22+Гост!D22+Новотр!D22+Черн!D22</f>
        <v>20.5</v>
      </c>
      <c r="E23" s="108">
        <f>C23+D23</f>
        <v>1231.8999999999999</v>
      </c>
      <c r="F23" s="104">
        <f>'Лен '!F21+Высокор!F22+Гост!F22+Новотр!F22+Черн!F22</f>
        <v>0</v>
      </c>
      <c r="G23" s="106">
        <f>'Лен '!G21+Высокор!G22+Гост!G22+Новотр!G22+Черн!G22</f>
        <v>17.9</v>
      </c>
      <c r="H23" s="106">
        <f>G23+M23</f>
        <v>48.8</v>
      </c>
      <c r="I23" s="107">
        <f>IF(E23&gt;0,H23/E23,0)</f>
        <v>0.03961360500040588</v>
      </c>
      <c r="J23" s="107">
        <f>IF(F23&gt;0,H23/F23,0)</f>
        <v>0</v>
      </c>
      <c r="K23" s="106">
        <f>'Лен '!K21+Высокор!K22+Гост!K22+Новотр!K22+Черн!K22</f>
        <v>94.8</v>
      </c>
      <c r="L23" s="107">
        <f>IF(K23&gt;0,H23/K23,0)</f>
        <v>0.5147679324894514</v>
      </c>
      <c r="M23" s="106">
        <f>'Лен '!M21+Высокор!M22+Гост!M22+Новотр!M22+Черн!M22</f>
        <v>30.900000000000002</v>
      </c>
      <c r="N23" s="106">
        <f>'Лен '!N21+Высокор!N22+Гост!N22+Новотр!N22+Черн!N22</f>
        <v>41.5</v>
      </c>
      <c r="O23" s="107">
        <f>IF(N23&gt;0,M23/N23,0)</f>
        <v>0.744578313253012</v>
      </c>
      <c r="P23" s="106">
        <f>'Лен '!P21+Высокор!P22+Гост!P22+Новотр!P22+Черн!P22</f>
        <v>580.2</v>
      </c>
      <c r="Q23" s="106">
        <f>'Лен '!Q21+Высокор!Q22+Гост!Q22+Новотр!Q22+Черн!Q22</f>
        <v>558.7</v>
      </c>
      <c r="R23" s="106">
        <f>'Лен '!R21+Высокор!R22+Гост!R22+Новотр!R22+Черн!R22</f>
        <v>529.6000000000001</v>
      </c>
    </row>
    <row r="24" spans="1:18" ht="18">
      <c r="A24" s="13" t="s">
        <v>21</v>
      </c>
      <c r="B24" s="13">
        <v>1060201002</v>
      </c>
      <c r="C24" s="104">
        <f>муниц!C21</f>
        <v>3046.2</v>
      </c>
      <c r="D24" s="104">
        <f>муниц!D21</f>
        <v>0</v>
      </c>
      <c r="E24" s="108">
        <f>C24+D24</f>
        <v>3046.2</v>
      </c>
      <c r="F24" s="104">
        <f>муниц!F21</f>
        <v>393</v>
      </c>
      <c r="G24" s="104">
        <f>муниц!G21</f>
        <v>12.6</v>
      </c>
      <c r="H24" s="106">
        <f>G24+M24</f>
        <v>393.8</v>
      </c>
      <c r="I24" s="107">
        <f t="shared" si="2"/>
        <v>0.12927581905324667</v>
      </c>
      <c r="J24" s="107">
        <f t="shared" si="3"/>
        <v>1.0020356234096692</v>
      </c>
      <c r="K24" s="104">
        <f>муниц!K21</f>
        <v>299.9</v>
      </c>
      <c r="L24" s="107">
        <f t="shared" si="4"/>
        <v>1.3131043681227077</v>
      </c>
      <c r="M24" s="104">
        <f>муниц!M21</f>
        <v>381.2</v>
      </c>
      <c r="N24" s="104">
        <f>муниц!N21</f>
        <v>74.1</v>
      </c>
      <c r="O24" s="107">
        <f t="shared" si="5"/>
        <v>5.144399460188934</v>
      </c>
      <c r="P24" s="104">
        <f>муниц!P21</f>
        <v>74.5</v>
      </c>
      <c r="Q24" s="104">
        <f>муниц!Q21</f>
        <v>74.3</v>
      </c>
      <c r="R24" s="104">
        <f>муниц!R21</f>
        <v>74.3</v>
      </c>
    </row>
    <row r="25" spans="1:18" ht="18">
      <c r="A25" s="13" t="s">
        <v>16</v>
      </c>
      <c r="B25" s="13">
        <v>1060600000</v>
      </c>
      <c r="C25" s="104">
        <f>'Лен '!C18+Высокор!C19+Гост!C19+Новотр!C19+Черн!C19</f>
        <v>720.3</v>
      </c>
      <c r="D25" s="104">
        <f>'Лен '!D18+Высокор!D19+Гост!D19+Новотр!D19+Черн!D19</f>
        <v>150.41</v>
      </c>
      <c r="E25" s="105">
        <f>C25+D25</f>
        <v>870.7099999999999</v>
      </c>
      <c r="F25" s="104">
        <f>'Лен '!F18+Высокор!F19+Гост!F19+Новотр!F19+Черн!F19</f>
        <v>0</v>
      </c>
      <c r="G25" s="106">
        <f>'Лен '!G18+Высокор!G19+Гост!G19+Новотр!G19+Черн!G19</f>
        <v>364.8</v>
      </c>
      <c r="H25" s="106">
        <f>G25+M25</f>
        <v>488.3</v>
      </c>
      <c r="I25" s="107">
        <f t="shared" si="2"/>
        <v>0.5608066979821066</v>
      </c>
      <c r="J25" s="107">
        <f t="shared" si="3"/>
        <v>0</v>
      </c>
      <c r="K25" s="106">
        <f>'Лен '!K18+Высокор!K19+Гост!K19+Новотр!K19+Черн!K19</f>
        <v>764.1</v>
      </c>
      <c r="L25" s="107">
        <f t="shared" si="4"/>
        <v>0.6390524800418793</v>
      </c>
      <c r="M25" s="106">
        <f>'Лен '!M18+Высокор!M19+Гост!M19+Новотр!M19+Черн!M19</f>
        <v>123.49999999999999</v>
      </c>
      <c r="N25" s="106">
        <f>'Лен '!N18+Высокор!N19+Гост!N19+Новотр!N19+Черн!N19</f>
        <v>145.8</v>
      </c>
      <c r="O25" s="107">
        <f t="shared" si="5"/>
        <v>0.8470507544581617</v>
      </c>
      <c r="P25" s="106">
        <f>'Лен '!P18+Высокор!P19+Гост!P19+Новотр!P19+Черн!P19</f>
        <v>1300.3</v>
      </c>
      <c r="Q25" s="106">
        <f>'Лен '!Q18+Высокор!Q19+Гост!Q19+Новотр!Q19+Черн!Q19</f>
        <v>1446.1</v>
      </c>
      <c r="R25" s="106">
        <f>'Лен '!R18+Высокор!R19+Гост!R19+Новотр!R19+Черн!R19</f>
        <v>1317.2</v>
      </c>
    </row>
    <row r="26" spans="1:18" ht="18">
      <c r="A26" s="9" t="s">
        <v>89</v>
      </c>
      <c r="B26" s="18">
        <v>1080000000</v>
      </c>
      <c r="C26" s="109">
        <f>муниц!C22+Высокор!C23+Гост!C23+Новотр!C23+Черн!C23</f>
        <v>415.5</v>
      </c>
      <c r="D26" s="109">
        <f>муниц!D22+Высокор!D23+Гост!D23+Новотр!D23+Черн!D23</f>
        <v>0</v>
      </c>
      <c r="E26" s="111">
        <f>C26+D26</f>
        <v>415.5</v>
      </c>
      <c r="F26" s="109">
        <f>муниц!F22+Высокор!F23+Гост!F23+Новотр!F23+Черн!F23</f>
        <v>109</v>
      </c>
      <c r="G26" s="109">
        <f>муниц!G22+Высокор!G23+Гост!G23+Новотр!G23+Черн!G23</f>
        <v>82.1</v>
      </c>
      <c r="H26" s="102">
        <f>G26+M26</f>
        <v>114.19999999999999</v>
      </c>
      <c r="I26" s="103">
        <f t="shared" si="2"/>
        <v>0.27484957882069794</v>
      </c>
      <c r="J26" s="103">
        <f t="shared" si="3"/>
        <v>1.0477064220183485</v>
      </c>
      <c r="K26" s="109">
        <f>муниц!K22+Высокор!K23+Гост!K23+Новотр!K23+Черн!K23</f>
        <v>121.80000000000001</v>
      </c>
      <c r="L26" s="103">
        <f t="shared" si="4"/>
        <v>0.9376026272577995</v>
      </c>
      <c r="M26" s="109">
        <f>муниц!M22+Высокор!M23+Гост!M23+Новотр!M23+Черн!M23</f>
        <v>32.1</v>
      </c>
      <c r="N26" s="109">
        <f>муниц!N22+Высокор!N23+Гост!N23+Новотр!N23+Черн!N23</f>
        <v>33.8</v>
      </c>
      <c r="O26" s="103">
        <f t="shared" si="5"/>
        <v>0.9497041420118344</v>
      </c>
      <c r="P26" s="112"/>
      <c r="Q26" s="112"/>
      <c r="R26" s="112"/>
    </row>
    <row r="27" spans="1:18" ht="18">
      <c r="A27" s="9" t="s">
        <v>90</v>
      </c>
      <c r="B27" s="18">
        <v>1090000000</v>
      </c>
      <c r="C27" s="109">
        <f>муниц!C23+'Лен '!C22+Высокор!C24+Гост!C24+Новотр!C24+Черн!C24</f>
        <v>0</v>
      </c>
      <c r="D27" s="109">
        <f>муниц!D23+'Лен '!D22+Высокор!D24+Гост!D24+Новотр!D24+Черн!D24</f>
        <v>0</v>
      </c>
      <c r="E27" s="111">
        <f>C27+D27</f>
        <v>0</v>
      </c>
      <c r="F27" s="109">
        <f>муниц!F23+'Лен '!F22+Высокор!F24+Гост!F24+Новотр!F24+Черн!F24</f>
        <v>0</v>
      </c>
      <c r="G27" s="109">
        <f>муниц!G23+'Лен '!G22+Высокор!G24+Гост!G24+Новотр!G24+Черн!G24</f>
        <v>0</v>
      </c>
      <c r="H27" s="102">
        <f>G27+M27</f>
        <v>0</v>
      </c>
      <c r="I27" s="103">
        <f t="shared" si="2"/>
        <v>0</v>
      </c>
      <c r="J27" s="103">
        <f t="shared" si="3"/>
        <v>0</v>
      </c>
      <c r="K27" s="109">
        <f>муниц!K23+'Лен '!K22+Высокор!K24+Гост!K24+Новотр!K24+Черн!K24</f>
        <v>0</v>
      </c>
      <c r="L27" s="103">
        <f t="shared" si="4"/>
        <v>0</v>
      </c>
      <c r="M27" s="109">
        <f>муниц!M23+'Лен '!M22+Высокор!M24+Гост!M24+Новотр!M24+Черн!M24</f>
        <v>0</v>
      </c>
      <c r="N27" s="109">
        <f>муниц!N23+'Лен '!N22+Высокор!N24+Гост!N24+Новотр!N24+Черн!N24</f>
        <v>0</v>
      </c>
      <c r="O27" s="103">
        <f t="shared" si="5"/>
        <v>0</v>
      </c>
      <c r="P27" s="109">
        <f>муниц!P23+'Лен '!P22+Высокор!P24+Гост!P24+Новотр!P24+Черн!P24</f>
        <v>0</v>
      </c>
      <c r="Q27" s="109">
        <f>муниц!Q23+'Лен '!Q22+Высокор!Q24+Гост!Q24+Новотр!Q24+Черн!Q24</f>
        <v>0</v>
      </c>
      <c r="R27" s="109">
        <f>муниц!R23+'Лен '!R22+Высокор!R24+Гост!R24+Новотр!R24+Черн!R24</f>
        <v>0</v>
      </c>
    </row>
    <row r="28" spans="1:18" ht="18">
      <c r="A28" s="14" t="s">
        <v>24</v>
      </c>
      <c r="B28" s="20"/>
      <c r="C28" s="113">
        <f aca="true" t="shared" si="9" ref="C28:H28">C29+C35+C36+C40+C43+C44</f>
        <v>12997.931</v>
      </c>
      <c r="D28" s="114">
        <f t="shared" si="9"/>
        <v>182.8</v>
      </c>
      <c r="E28" s="114">
        <f t="shared" si="9"/>
        <v>13180.731</v>
      </c>
      <c r="F28" s="114">
        <f t="shared" si="9"/>
        <v>3086.4</v>
      </c>
      <c r="G28" s="114">
        <f t="shared" si="9"/>
        <v>2388.3</v>
      </c>
      <c r="H28" s="114">
        <f t="shared" si="9"/>
        <v>4434.8</v>
      </c>
      <c r="I28" s="101">
        <f t="shared" si="2"/>
        <v>0.33646085334720816</v>
      </c>
      <c r="J28" s="101">
        <f t="shared" si="3"/>
        <v>1.4368843960601347</v>
      </c>
      <c r="K28" s="114">
        <f>K29+K35+K36+K40+K43+K44</f>
        <v>3476.3999999999996</v>
      </c>
      <c r="L28" s="101">
        <f t="shared" si="4"/>
        <v>1.2756874928086528</v>
      </c>
      <c r="M28" s="114">
        <f>M29+M35+M36+M40+M43+M44</f>
        <v>2046.5</v>
      </c>
      <c r="N28" s="114">
        <f>N29+N35+N36+N40+N43+N44</f>
        <v>1209.8</v>
      </c>
      <c r="O28" s="101">
        <f t="shared" si="5"/>
        <v>1.6916019176723427</v>
      </c>
      <c r="P28" s="114">
        <f>P29+P35+P36+P40+P43+P44</f>
        <v>820.8</v>
      </c>
      <c r="Q28" s="114">
        <f>Q29+Q35+Q36+Q40+Q43+Q44</f>
        <v>308</v>
      </c>
      <c r="R28" s="114">
        <f>R29+R35+R36+R40+R43+R44</f>
        <v>337.5</v>
      </c>
    </row>
    <row r="29" spans="1:18" ht="18">
      <c r="A29" s="9" t="s">
        <v>91</v>
      </c>
      <c r="B29" s="18">
        <v>1110000000</v>
      </c>
      <c r="C29" s="109">
        <f aca="true" t="shared" si="10" ref="C29:H29">SUM(C30:C34)</f>
        <v>3508.2309999999998</v>
      </c>
      <c r="D29" s="109">
        <f t="shared" si="10"/>
        <v>0</v>
      </c>
      <c r="E29" s="109">
        <f t="shared" si="10"/>
        <v>3508.2309999999998</v>
      </c>
      <c r="F29" s="109">
        <f t="shared" si="10"/>
        <v>815</v>
      </c>
      <c r="G29" s="109">
        <f t="shared" si="10"/>
        <v>787</v>
      </c>
      <c r="H29" s="109">
        <f t="shared" si="10"/>
        <v>971.6000000000001</v>
      </c>
      <c r="I29" s="103">
        <f t="shared" si="2"/>
        <v>0.27694869579568737</v>
      </c>
      <c r="J29" s="103">
        <f t="shared" si="3"/>
        <v>1.192147239263804</v>
      </c>
      <c r="K29" s="109">
        <f>SUM(K30:K34)</f>
        <v>543.5</v>
      </c>
      <c r="L29" s="103">
        <f t="shared" si="4"/>
        <v>1.7876724931002763</v>
      </c>
      <c r="M29" s="109">
        <f>SUM(M30:M34)</f>
        <v>184.60000000000002</v>
      </c>
      <c r="N29" s="109">
        <f>SUM(N30:N34)</f>
        <v>187.4</v>
      </c>
      <c r="O29" s="103">
        <f t="shared" si="5"/>
        <v>0.985058697972252</v>
      </c>
      <c r="P29" s="109">
        <f>SUM(P30:P34)</f>
        <v>820.8</v>
      </c>
      <c r="Q29" s="109">
        <f>SUM(Q30:Q34)</f>
        <v>308</v>
      </c>
      <c r="R29" s="109">
        <f>SUM(R30:R34)</f>
        <v>337.5</v>
      </c>
    </row>
    <row r="30" spans="1:18" ht="18">
      <c r="A30" s="13" t="s">
        <v>22</v>
      </c>
      <c r="B30" s="13">
        <v>1110105005</v>
      </c>
      <c r="C30" s="104">
        <f>муниц!C26</f>
        <v>0</v>
      </c>
      <c r="D30" s="104">
        <f>муниц!D26</f>
        <v>0</v>
      </c>
      <c r="E30" s="108">
        <f aca="true" t="shared" si="11" ref="E30:E43">C30+D30</f>
        <v>0</v>
      </c>
      <c r="F30" s="104">
        <f>муниц!F26</f>
        <v>0</v>
      </c>
      <c r="G30" s="104">
        <f>муниц!G26</f>
        <v>0</v>
      </c>
      <c r="H30" s="106">
        <f aca="true" t="shared" si="12" ref="H30:H35">G30+M30</f>
        <v>0</v>
      </c>
      <c r="I30" s="107">
        <f t="shared" si="2"/>
        <v>0</v>
      </c>
      <c r="J30" s="107">
        <f t="shared" si="3"/>
        <v>0</v>
      </c>
      <c r="K30" s="104">
        <f>муниц!K26</f>
        <v>0</v>
      </c>
      <c r="L30" s="107">
        <f t="shared" si="4"/>
        <v>0</v>
      </c>
      <c r="M30" s="104">
        <f>муниц!M26</f>
        <v>0</v>
      </c>
      <c r="N30" s="104">
        <f>муниц!N26</f>
        <v>0</v>
      </c>
      <c r="O30" s="107">
        <f t="shared" si="5"/>
        <v>0</v>
      </c>
      <c r="P30" s="104"/>
      <c r="Q30" s="104"/>
      <c r="R30" s="104"/>
    </row>
    <row r="31" spans="1:18" ht="18">
      <c r="A31" s="13" t="s">
        <v>1</v>
      </c>
      <c r="B31" s="13">
        <v>1110501013</v>
      </c>
      <c r="C31" s="104">
        <f>муниц!C27+муниц!C28+'Лен '!C25+Высокор!C27+Гост!C27+Новотр!C27+Черн!C27</f>
        <v>1980.1</v>
      </c>
      <c r="D31" s="104">
        <f>муниц!D27+муниц!D28+'Лен '!D25+Высокор!D27+Гост!D27+Новотр!D27+Черн!D27</f>
        <v>0</v>
      </c>
      <c r="E31" s="108">
        <f t="shared" si="11"/>
        <v>1980.1</v>
      </c>
      <c r="F31" s="104">
        <f>муниц!F27+муниц!F28+'Лен '!F25+Высокор!F27+Гост!F27+Новотр!F27+Черн!F27</f>
        <v>60</v>
      </c>
      <c r="G31" s="104">
        <f>муниц!G27+муниц!G28+'Лен '!G25+Высокор!G27+Гост!G27+Новотр!G27+Черн!G27</f>
        <v>67.9</v>
      </c>
      <c r="H31" s="106">
        <f t="shared" si="12"/>
        <v>111.10000000000001</v>
      </c>
      <c r="I31" s="107">
        <f t="shared" si="2"/>
        <v>0.056108277359729314</v>
      </c>
      <c r="J31" s="107">
        <f t="shared" si="3"/>
        <v>1.8516666666666668</v>
      </c>
      <c r="K31" s="104">
        <f>муниц!K27+муниц!K28+'Лен '!K25+Высокор!K27+Гост!K27+Новотр!K27+Черн!K27</f>
        <v>140.29999999999998</v>
      </c>
      <c r="L31" s="107">
        <f t="shared" si="4"/>
        <v>0.7918745545260159</v>
      </c>
      <c r="M31" s="104">
        <f>муниц!M27+муниц!M28+'Лен '!M25+Высокор!M27+Гост!M27+Новотр!M27+Черн!M27</f>
        <v>43.2</v>
      </c>
      <c r="N31" s="104">
        <f>муниц!N27+муниц!N28+'Лен '!N25+Высокор!N27+Гост!N27+Новотр!N27+Черн!N27</f>
        <v>3.3000000000000003</v>
      </c>
      <c r="O31" s="107">
        <f t="shared" si="5"/>
        <v>13.09090909090909</v>
      </c>
      <c r="P31" s="104">
        <f>муниц!P27+муниц!P28+'Лен '!P25+Высокор!P27+Гост!P27+Новотр!P27+Черн!P27</f>
        <v>279.2</v>
      </c>
      <c r="Q31" s="104">
        <f>муниц!Q27+муниц!Q28+'Лен '!Q25+Высокор!Q27+Гост!Q27+Новотр!Q27+Черн!Q27</f>
        <v>224.5</v>
      </c>
      <c r="R31" s="104">
        <f>муниц!R27+муниц!R28+'Лен '!R25+Высокор!R27+Гост!R27+Новотр!R27+Черн!R27</f>
        <v>230.5</v>
      </c>
    </row>
    <row r="32" spans="1:18" ht="18">
      <c r="A32" s="13" t="s">
        <v>18</v>
      </c>
      <c r="B32" s="13">
        <v>1110503510</v>
      </c>
      <c r="C32" s="104">
        <f>муниц!C29</f>
        <v>920.3</v>
      </c>
      <c r="D32" s="104">
        <f>муниц!D29</f>
        <v>0</v>
      </c>
      <c r="E32" s="108">
        <f t="shared" si="11"/>
        <v>920.3</v>
      </c>
      <c r="F32" s="104">
        <f>муниц!F29</f>
        <v>755</v>
      </c>
      <c r="G32" s="104">
        <f>муниц!G29</f>
        <v>669.2</v>
      </c>
      <c r="H32" s="106">
        <f t="shared" si="12"/>
        <v>756.9000000000001</v>
      </c>
      <c r="I32" s="107">
        <f t="shared" si="2"/>
        <v>0.8224492013473869</v>
      </c>
      <c r="J32" s="107">
        <f t="shared" si="3"/>
        <v>1.002516556291391</v>
      </c>
      <c r="K32" s="104">
        <f>муниц!K29</f>
        <v>253.4</v>
      </c>
      <c r="L32" s="107">
        <f t="shared" si="4"/>
        <v>2.986977111286504</v>
      </c>
      <c r="M32" s="104">
        <f>муниц!M29</f>
        <v>87.7</v>
      </c>
      <c r="N32" s="104">
        <f>муниц!N29</f>
        <v>131.7</v>
      </c>
      <c r="O32" s="107">
        <f t="shared" si="5"/>
        <v>0.665907365223994</v>
      </c>
      <c r="P32" s="104">
        <f>муниц!P29</f>
        <v>541.6</v>
      </c>
      <c r="Q32" s="104">
        <f>муниц!Q29</f>
        <v>83.5</v>
      </c>
      <c r="R32" s="104">
        <f>муниц!R29</f>
        <v>107</v>
      </c>
    </row>
    <row r="33" spans="1:18" ht="18">
      <c r="A33" s="13" t="s">
        <v>19</v>
      </c>
      <c r="B33" s="13">
        <v>1110903510</v>
      </c>
      <c r="C33" s="104">
        <f>'Лен '!C27+Гост!C28</f>
        <v>10</v>
      </c>
      <c r="D33" s="104">
        <f>'Лен '!D27+Гост!D28</f>
        <v>0</v>
      </c>
      <c r="E33" s="108">
        <f t="shared" si="11"/>
        <v>10</v>
      </c>
      <c r="F33" s="104">
        <f>'Лен '!F27+Гост!F28</f>
        <v>0</v>
      </c>
      <c r="G33" s="104">
        <f>'Лен '!G27+Гост!G28</f>
        <v>0</v>
      </c>
      <c r="H33" s="106">
        <f t="shared" si="12"/>
        <v>0</v>
      </c>
      <c r="I33" s="107">
        <f t="shared" si="2"/>
        <v>0</v>
      </c>
      <c r="J33" s="107">
        <f t="shared" si="3"/>
        <v>0</v>
      </c>
      <c r="K33" s="104">
        <f>'Лен '!K27</f>
        <v>0</v>
      </c>
      <c r="L33" s="107">
        <f t="shared" si="4"/>
        <v>0</v>
      </c>
      <c r="M33" s="104">
        <f>'Лен '!M27+Гост!M28</f>
        <v>0</v>
      </c>
      <c r="N33" s="104">
        <f>'Лен '!N27</f>
        <v>0</v>
      </c>
      <c r="O33" s="107">
        <f t="shared" si="5"/>
        <v>0</v>
      </c>
      <c r="P33" s="115"/>
      <c r="Q33" s="115"/>
      <c r="R33" s="115"/>
    </row>
    <row r="34" spans="1:18" ht="18">
      <c r="A34" s="13" t="s">
        <v>25</v>
      </c>
      <c r="B34" s="13">
        <v>1110904505</v>
      </c>
      <c r="C34" s="104">
        <f>муниц!C30+'Лен '!C26+Высокор!C28+Гост!C29+Новотр!C28+Черн!C28</f>
        <v>597.8309999999999</v>
      </c>
      <c r="D34" s="104">
        <f>муниц!D30+'Лен '!D26+Высокор!D28+Гост!D29+Новотр!D28+Черн!D28</f>
        <v>0</v>
      </c>
      <c r="E34" s="108">
        <f t="shared" si="11"/>
        <v>597.8309999999999</v>
      </c>
      <c r="F34" s="104">
        <f>муниц!F30+'Лен '!F26+Высокор!F28+Гост!F29+Новотр!F28+Черн!F28</f>
        <v>0</v>
      </c>
      <c r="G34" s="104">
        <f>муниц!G30+'Лен '!G26+Высокор!G28+Гост!G29+Новотр!G28+Черн!G28</f>
        <v>49.900000000000006</v>
      </c>
      <c r="H34" s="106">
        <f t="shared" si="12"/>
        <v>103.60000000000001</v>
      </c>
      <c r="I34" s="107">
        <f t="shared" si="2"/>
        <v>0.1732931213001668</v>
      </c>
      <c r="J34" s="107">
        <f t="shared" si="3"/>
        <v>0</v>
      </c>
      <c r="K34" s="104">
        <f>муниц!K30+'Лен '!K26+Высокор!K28+Гост!K29+Новотр!K28+Черн!K28</f>
        <v>149.79999999999998</v>
      </c>
      <c r="L34" s="107">
        <f t="shared" si="4"/>
        <v>0.6915887850467292</v>
      </c>
      <c r="M34" s="104">
        <f>муниц!M30+'Лен '!M26+Высокор!M28+Гост!M29+Новотр!M28+Черн!M28</f>
        <v>53.7</v>
      </c>
      <c r="N34" s="104">
        <f>муниц!N30+'Лен '!N26+Высокор!N28+Гост!N29+Новотр!N28+Черн!N28</f>
        <v>52.4</v>
      </c>
      <c r="O34" s="107">
        <f t="shared" si="5"/>
        <v>1.0248091603053435</v>
      </c>
      <c r="P34" s="115"/>
      <c r="Q34" s="115"/>
      <c r="R34" s="115"/>
    </row>
    <row r="35" spans="1:18" ht="18">
      <c r="A35" s="9" t="s">
        <v>87</v>
      </c>
      <c r="B35" s="18">
        <v>1120000000</v>
      </c>
      <c r="C35" s="109">
        <f>муниц!C31</f>
        <v>199.5</v>
      </c>
      <c r="D35" s="109">
        <f>муниц!D31</f>
        <v>0</v>
      </c>
      <c r="E35" s="111">
        <f t="shared" si="11"/>
        <v>199.5</v>
      </c>
      <c r="F35" s="109">
        <f>муниц!F31</f>
        <v>30</v>
      </c>
      <c r="G35" s="109">
        <f>муниц!G31</f>
        <v>27.3</v>
      </c>
      <c r="H35" s="102">
        <f t="shared" si="12"/>
        <v>31.9</v>
      </c>
      <c r="I35" s="103">
        <f t="shared" si="2"/>
        <v>0.15989974937343357</v>
      </c>
      <c r="J35" s="103">
        <f t="shared" si="3"/>
        <v>1.0633333333333332</v>
      </c>
      <c r="K35" s="109">
        <f>муниц!K31</f>
        <v>35.3</v>
      </c>
      <c r="L35" s="103">
        <f t="shared" si="4"/>
        <v>0.9036827195467423</v>
      </c>
      <c r="M35" s="109">
        <f>муниц!M31</f>
        <v>4.6</v>
      </c>
      <c r="N35" s="109">
        <f>муниц!N31</f>
        <v>4</v>
      </c>
      <c r="O35" s="103">
        <f t="shared" si="5"/>
        <v>1.15</v>
      </c>
      <c r="P35" s="102"/>
      <c r="Q35" s="112"/>
      <c r="R35" s="112"/>
    </row>
    <row r="36" spans="1:18" ht="18">
      <c r="A36" s="9" t="s">
        <v>72</v>
      </c>
      <c r="B36" s="18">
        <v>1130000000</v>
      </c>
      <c r="C36" s="109">
        <f aca="true" t="shared" si="13" ref="C36:H36">SUM(C37:C39)</f>
        <v>8996.7</v>
      </c>
      <c r="D36" s="109">
        <f t="shared" si="13"/>
        <v>182.8</v>
      </c>
      <c r="E36" s="109">
        <f t="shared" si="13"/>
        <v>9179.5</v>
      </c>
      <c r="F36" s="109">
        <f t="shared" si="13"/>
        <v>2203.4</v>
      </c>
      <c r="G36" s="109">
        <f t="shared" si="13"/>
        <v>1693</v>
      </c>
      <c r="H36" s="109">
        <f t="shared" si="13"/>
        <v>2913.7000000000003</v>
      </c>
      <c r="I36" s="103">
        <f t="shared" si="2"/>
        <v>0.31741380249468926</v>
      </c>
      <c r="J36" s="103">
        <f t="shared" si="3"/>
        <v>1.322365435236453</v>
      </c>
      <c r="K36" s="109">
        <f>SUM(K37:K39)</f>
        <v>2409.2</v>
      </c>
      <c r="L36" s="103">
        <f t="shared" si="4"/>
        <v>1.2094056118213516</v>
      </c>
      <c r="M36" s="109">
        <f>SUM(M37:M39)</f>
        <v>1220.7</v>
      </c>
      <c r="N36" s="109">
        <f>SUM(N37:N39)</f>
        <v>966.6999999999999</v>
      </c>
      <c r="O36" s="103">
        <f t="shared" si="5"/>
        <v>1.2627495603599876</v>
      </c>
      <c r="P36" s="109">
        <f>SUM(P37:P39)</f>
        <v>0</v>
      </c>
      <c r="Q36" s="109">
        <f>SUM(Q37:Q39)</f>
        <v>0</v>
      </c>
      <c r="R36" s="109">
        <f>SUM(R37:R39)</f>
        <v>0</v>
      </c>
    </row>
    <row r="37" spans="1:18" ht="18">
      <c r="A37" s="15" t="s">
        <v>38</v>
      </c>
      <c r="B37" s="22">
        <v>1130199500</v>
      </c>
      <c r="C37" s="116">
        <f>муниц!C33</f>
        <v>7612</v>
      </c>
      <c r="D37" s="116">
        <f>муниц!D33</f>
        <v>0</v>
      </c>
      <c r="E37" s="108">
        <f t="shared" si="11"/>
        <v>7612</v>
      </c>
      <c r="F37" s="116">
        <f>муниц!F33</f>
        <v>1963.4</v>
      </c>
      <c r="G37" s="116">
        <f>муниц!G33</f>
        <v>1477.9</v>
      </c>
      <c r="H37" s="106">
        <f>G37+M37</f>
        <v>2486.9</v>
      </c>
      <c r="I37" s="107">
        <f>IF(E37&gt;0,H37/E37,0)</f>
        <v>0.32670782974251183</v>
      </c>
      <c r="J37" s="107">
        <f>IF(F37&gt;0,H37/F37,0)</f>
        <v>1.2666293164917999</v>
      </c>
      <c r="K37" s="116">
        <f>муниц!K33</f>
        <v>2208.5</v>
      </c>
      <c r="L37" s="107">
        <f t="shared" si="4"/>
        <v>1.126058410685986</v>
      </c>
      <c r="M37" s="116">
        <f>муниц!M33</f>
        <v>1009</v>
      </c>
      <c r="N37" s="116">
        <f>муниц!N33</f>
        <v>845.5</v>
      </c>
      <c r="O37" s="107">
        <f t="shared" si="5"/>
        <v>1.1933767001774098</v>
      </c>
      <c r="P37" s="117"/>
      <c r="Q37" s="118"/>
      <c r="R37" s="118"/>
    </row>
    <row r="38" spans="1:18" ht="18">
      <c r="A38" s="15" t="s">
        <v>39</v>
      </c>
      <c r="B38" s="22">
        <v>1130206500</v>
      </c>
      <c r="C38" s="116">
        <f>муниц!C34</f>
        <v>619</v>
      </c>
      <c r="D38" s="116">
        <f>муниц!D34</f>
        <v>0</v>
      </c>
      <c r="E38" s="108">
        <f t="shared" si="11"/>
        <v>619</v>
      </c>
      <c r="F38" s="116">
        <f>муниц!F34</f>
        <v>240</v>
      </c>
      <c r="G38" s="116">
        <f>муниц!G34</f>
        <v>92.1</v>
      </c>
      <c r="H38" s="106">
        <f>G38+M38</f>
        <v>161</v>
      </c>
      <c r="I38" s="107">
        <f>IF(E38&gt;0,H38/E38,0)</f>
        <v>0.26009693053311794</v>
      </c>
      <c r="J38" s="107">
        <f>IF(F38&gt;0,H38/F38,0)</f>
        <v>0.6708333333333333</v>
      </c>
      <c r="K38" s="116">
        <f>муниц!K34</f>
        <v>145.2</v>
      </c>
      <c r="L38" s="107">
        <f t="shared" si="4"/>
        <v>1.1088154269972452</v>
      </c>
      <c r="M38" s="116">
        <f>муниц!M34</f>
        <v>68.9</v>
      </c>
      <c r="N38" s="116">
        <f>муниц!N34</f>
        <v>78.3</v>
      </c>
      <c r="O38" s="107">
        <f t="shared" si="5"/>
        <v>0.8799489144316731</v>
      </c>
      <c r="P38" s="117"/>
      <c r="Q38" s="118"/>
      <c r="R38" s="118"/>
    </row>
    <row r="39" spans="1:18" ht="18">
      <c r="A39" s="15" t="s">
        <v>42</v>
      </c>
      <c r="B39" s="22">
        <v>1130299510</v>
      </c>
      <c r="C39" s="116">
        <f>муниц!C35+'Лен '!C28+Высокор!C29+Гост!C30+Новотр!C29+Черн!C29</f>
        <v>765.6999999999999</v>
      </c>
      <c r="D39" s="116">
        <f>муниц!D35+'Лен '!D28+Высокор!D29+Гост!D30+Новотр!D29+Черн!D29</f>
        <v>182.8</v>
      </c>
      <c r="E39" s="108">
        <f t="shared" si="11"/>
        <v>948.5</v>
      </c>
      <c r="F39" s="116">
        <f>муниц!F35+'Лен '!F28+Высокор!F29+Гост!F30+Новотр!F29+Черн!F29</f>
        <v>0</v>
      </c>
      <c r="G39" s="116">
        <f>муниц!G35+'Лен '!G28+Высокор!G29+Гост!G30+Новотр!G29+Черн!G29</f>
        <v>123</v>
      </c>
      <c r="H39" s="106">
        <f>G39+M39</f>
        <v>265.8</v>
      </c>
      <c r="I39" s="107">
        <f>IF(E39&gt;0,H39/E39,0)</f>
        <v>0.2802319451765946</v>
      </c>
      <c r="J39" s="107">
        <f>IF(F39&gt;0,H39/F39,0)</f>
        <v>0</v>
      </c>
      <c r="K39" s="116">
        <f>муниц!K35+'Лен '!K28+Высокор!K29+Гост!K30+Новотр!K29+Черн!K29</f>
        <v>55.5</v>
      </c>
      <c r="L39" s="107">
        <f t="shared" si="4"/>
        <v>4.789189189189189</v>
      </c>
      <c r="M39" s="116">
        <f>муниц!M35+'Лен '!M28+Высокор!M29+Гост!M30+Новотр!M29+Черн!M29</f>
        <v>142.8</v>
      </c>
      <c r="N39" s="116">
        <f>муниц!N35+'Лен '!N28+Высокор!N29+Гост!N30+Новотр!N29+Черн!N29</f>
        <v>42.9</v>
      </c>
      <c r="O39" s="107">
        <f t="shared" si="5"/>
        <v>3.328671328671329</v>
      </c>
      <c r="P39" s="117"/>
      <c r="Q39" s="118"/>
      <c r="R39" s="118"/>
    </row>
    <row r="40" spans="1:18" ht="18">
      <c r="A40" s="9" t="s">
        <v>92</v>
      </c>
      <c r="B40" s="18">
        <v>1140000000</v>
      </c>
      <c r="C40" s="109">
        <f aca="true" t="shared" si="14" ref="C40:H40">SUM(C41:C42)</f>
        <v>100</v>
      </c>
      <c r="D40" s="109">
        <f t="shared" si="14"/>
        <v>0</v>
      </c>
      <c r="E40" s="109">
        <f t="shared" si="14"/>
        <v>100</v>
      </c>
      <c r="F40" s="109">
        <f t="shared" si="14"/>
        <v>0</v>
      </c>
      <c r="G40" s="109">
        <f t="shared" si="14"/>
        <v>-147</v>
      </c>
      <c r="H40" s="109">
        <f t="shared" si="14"/>
        <v>465.29999999999995</v>
      </c>
      <c r="I40" s="103">
        <f t="shared" si="2"/>
        <v>4.653</v>
      </c>
      <c r="J40" s="103">
        <f t="shared" si="3"/>
        <v>0</v>
      </c>
      <c r="K40" s="109">
        <f>SUM(K41:K42)</f>
        <v>166.10000000000002</v>
      </c>
      <c r="L40" s="103">
        <f t="shared" si="4"/>
        <v>2.8013245033112577</v>
      </c>
      <c r="M40" s="109">
        <f>SUM(M41:M42)</f>
        <v>612.3</v>
      </c>
      <c r="N40" s="109">
        <f>SUM(N41:N42)</f>
        <v>20.4</v>
      </c>
      <c r="O40" s="103">
        <f t="shared" si="5"/>
        <v>30.014705882352942</v>
      </c>
      <c r="P40" s="112"/>
      <c r="Q40" s="112"/>
      <c r="R40" s="112"/>
    </row>
    <row r="41" spans="1:18" ht="18">
      <c r="A41" s="13" t="s">
        <v>33</v>
      </c>
      <c r="B41" s="13">
        <v>1140205200</v>
      </c>
      <c r="C41" s="116">
        <f>муниц!C37+'Лен '!C29+Высокор!C30+Гост!C31+Новотр!C31+Черн!C30</f>
        <v>100</v>
      </c>
      <c r="D41" s="116">
        <f>муниц!D37+'Лен '!D29+Высокор!D30+Гост!D31+Новотр!D31+Черн!D30</f>
        <v>0</v>
      </c>
      <c r="E41" s="108">
        <f t="shared" si="11"/>
        <v>100</v>
      </c>
      <c r="F41" s="116">
        <f>муниц!F37+'Лен '!F29+Высокор!F30+Гост!F31+Новотр!F31+Черн!F30</f>
        <v>0</v>
      </c>
      <c r="G41" s="116">
        <f>муниц!G37+'Лен '!G29+Высокор!G30+Гост!G31+Новотр!G31+Черн!G30</f>
        <v>-147</v>
      </c>
      <c r="H41" s="106">
        <f>G41+M41</f>
        <v>453.69999999999993</v>
      </c>
      <c r="I41" s="107">
        <f t="shared" si="2"/>
        <v>4.536999999999999</v>
      </c>
      <c r="J41" s="107">
        <f t="shared" si="3"/>
        <v>0</v>
      </c>
      <c r="K41" s="116">
        <f>муниц!K37+'Лен '!K29+Высокор!K30+Гост!K31+Новотр!K31+Черн!K30</f>
        <v>130.9</v>
      </c>
      <c r="L41" s="107">
        <f t="shared" si="4"/>
        <v>3.466004583651642</v>
      </c>
      <c r="M41" s="116">
        <f>муниц!M37+'Лен '!M29+Высокор!M30+Гост!M31+Новотр!M31+Черн!M30</f>
        <v>600.6999999999999</v>
      </c>
      <c r="N41" s="116">
        <f>муниц!N37+'Лен '!N29+Высокор!N30+Гост!N31+Новотр!N31+Черн!N30</f>
        <v>0</v>
      </c>
      <c r="O41" s="107">
        <f t="shared" si="5"/>
        <v>0</v>
      </c>
      <c r="P41" s="118"/>
      <c r="Q41" s="118"/>
      <c r="R41" s="118"/>
    </row>
    <row r="42" spans="1:18" ht="18">
      <c r="A42" s="13" t="s">
        <v>34</v>
      </c>
      <c r="B42" s="13">
        <v>1140601310</v>
      </c>
      <c r="C42" s="116">
        <f>муниц!C38+'Лен '!C30+Высокор!C31+Гост!C32+Новотр!C30+Черн!C31</f>
        <v>0</v>
      </c>
      <c r="D42" s="116">
        <f>муниц!D38+'Лен '!D30+Высокор!D31+Гост!D32+Новотр!D30+Черн!D31</f>
        <v>0</v>
      </c>
      <c r="E42" s="108">
        <f t="shared" si="11"/>
        <v>0</v>
      </c>
      <c r="F42" s="116">
        <f>муниц!F38+'Лен '!F30+Высокор!F31+Гост!F32+Новотр!F30+Черн!F31</f>
        <v>0</v>
      </c>
      <c r="G42" s="116">
        <f>муниц!G38+'Лен '!G30+Высокор!G31+Гост!G32+Новотр!G30+Черн!G31</f>
        <v>0</v>
      </c>
      <c r="H42" s="106">
        <f>G42+M42</f>
        <v>11.6</v>
      </c>
      <c r="I42" s="107">
        <f t="shared" si="2"/>
        <v>0</v>
      </c>
      <c r="J42" s="107">
        <f t="shared" si="3"/>
        <v>0</v>
      </c>
      <c r="K42" s="116">
        <f>муниц!K38+'Лен '!K30+Высокор!K31+Гост!K32+Новотр!K30+Черн!K31</f>
        <v>35.2</v>
      </c>
      <c r="L42" s="107">
        <f t="shared" si="4"/>
        <v>0.32954545454545453</v>
      </c>
      <c r="M42" s="116">
        <f>муниц!M38+'Лен '!M30+Высокор!M31+Гост!M32+Новотр!M30+Черн!M31</f>
        <v>11.6</v>
      </c>
      <c r="N42" s="116">
        <f>муниц!N38+'Лен '!N30+Высокор!N31+Гост!N32+Новотр!N30+Черн!N31</f>
        <v>20.4</v>
      </c>
      <c r="O42" s="107">
        <f t="shared" si="5"/>
        <v>0.5686274509803921</v>
      </c>
      <c r="P42" s="118"/>
      <c r="Q42" s="118"/>
      <c r="R42" s="118"/>
    </row>
    <row r="43" spans="1:18" ht="18">
      <c r="A43" s="9" t="s">
        <v>93</v>
      </c>
      <c r="B43" s="18">
        <v>1160000000</v>
      </c>
      <c r="C43" s="109">
        <f>муниц!C39+'Лен '!C31+Высокор!C32+Гост!C33+Новотр!C32+Черн!C32</f>
        <v>193.5</v>
      </c>
      <c r="D43" s="109">
        <f>муниц!D39+'Лен '!D31+Высокор!D32+Гост!D33+Новотр!D32+Черн!D32</f>
        <v>0</v>
      </c>
      <c r="E43" s="111">
        <f t="shared" si="11"/>
        <v>193.5</v>
      </c>
      <c r="F43" s="109">
        <f>муниц!F39+'Лен '!F31+Высокор!F32+Гост!F33+Новотр!F32+Черн!F32</f>
        <v>38</v>
      </c>
      <c r="G43" s="109">
        <f>муниц!G39+'Лен '!G31+Высокор!G32+Гост!G33+Новотр!G32+Черн!G32</f>
        <v>28</v>
      </c>
      <c r="H43" s="102">
        <f>G43+M43</f>
        <v>48.8</v>
      </c>
      <c r="I43" s="103">
        <f t="shared" si="2"/>
        <v>0.25219638242894055</v>
      </c>
      <c r="J43" s="103">
        <f t="shared" si="3"/>
        <v>1.2842105263157895</v>
      </c>
      <c r="K43" s="109">
        <f>муниц!K39+'Лен '!K31+Высокор!K32+Гост!K33+Новотр!K32+Черн!K32</f>
        <v>322.1</v>
      </c>
      <c r="L43" s="103">
        <f t="shared" si="4"/>
        <v>0.15150574355790125</v>
      </c>
      <c r="M43" s="109">
        <f>муниц!M39+'Лен '!M31+Высокор!M32+Гост!M33+Новотр!M32+Черн!M32</f>
        <v>20.8</v>
      </c>
      <c r="N43" s="109">
        <f>муниц!N39+'Лен '!N31+Высокор!N32+Гост!N33+Новотр!N32+Черн!N32</f>
        <v>31.1</v>
      </c>
      <c r="O43" s="103">
        <f t="shared" si="5"/>
        <v>0.6688102893890675</v>
      </c>
      <c r="P43" s="112"/>
      <c r="Q43" s="112"/>
      <c r="R43" s="112"/>
    </row>
    <row r="44" spans="1:18" ht="18">
      <c r="A44" s="9" t="s">
        <v>94</v>
      </c>
      <c r="B44" s="18">
        <v>1170000000</v>
      </c>
      <c r="C44" s="109">
        <f aca="true" t="shared" si="15" ref="C44:H44">SUM(C45:C46)</f>
        <v>0</v>
      </c>
      <c r="D44" s="109">
        <f t="shared" si="15"/>
        <v>0</v>
      </c>
      <c r="E44" s="109">
        <f t="shared" si="15"/>
        <v>0</v>
      </c>
      <c r="F44" s="109">
        <f t="shared" si="15"/>
        <v>0</v>
      </c>
      <c r="G44" s="109">
        <f t="shared" si="15"/>
        <v>0</v>
      </c>
      <c r="H44" s="109">
        <f t="shared" si="15"/>
        <v>3.4999999999999996</v>
      </c>
      <c r="I44" s="103">
        <f t="shared" si="2"/>
        <v>0</v>
      </c>
      <c r="J44" s="103">
        <f t="shared" si="3"/>
        <v>0</v>
      </c>
      <c r="K44" s="109">
        <f>SUM(K45:K46)</f>
        <v>0.2</v>
      </c>
      <c r="L44" s="103">
        <f t="shared" si="4"/>
        <v>17.499999999999996</v>
      </c>
      <c r="M44" s="109">
        <f>SUM(M45:M46)</f>
        <v>3.5</v>
      </c>
      <c r="N44" s="109">
        <f>SUM(N45:N46)</f>
        <v>0.2</v>
      </c>
      <c r="O44" s="103">
        <f t="shared" si="5"/>
        <v>17.5</v>
      </c>
      <c r="P44" s="109">
        <f>SUM(P45:P46)</f>
        <v>0</v>
      </c>
      <c r="Q44" s="109">
        <f>SUM(Q45:Q46)</f>
        <v>0</v>
      </c>
      <c r="R44" s="109">
        <f>SUM(R45:R46)</f>
        <v>0</v>
      </c>
    </row>
    <row r="45" spans="1:18" ht="18">
      <c r="A45" s="13" t="s">
        <v>8</v>
      </c>
      <c r="B45" s="13">
        <v>1170105005</v>
      </c>
      <c r="C45" s="104"/>
      <c r="D45" s="104"/>
      <c r="E45" s="108">
        <f>C45+D45</f>
        <v>0</v>
      </c>
      <c r="F45" s="104"/>
      <c r="G45" s="104">
        <f>муниц!G41+'Лен '!G33+Высокор!G34+Гост!G35+Новотр!G34+Черн!G34</f>
        <v>-0.2</v>
      </c>
      <c r="H45" s="106">
        <f>G45+M45</f>
        <v>3.0999999999999996</v>
      </c>
      <c r="I45" s="107">
        <f t="shared" si="2"/>
        <v>0</v>
      </c>
      <c r="J45" s="107">
        <f t="shared" si="3"/>
        <v>0</v>
      </c>
      <c r="K45" s="104">
        <f>муниц!K41+'Лен '!K33+Высокор!K34+Гост!K35+Новотр!K34+Черн!K34</f>
        <v>0</v>
      </c>
      <c r="L45" s="107">
        <f t="shared" si="4"/>
        <v>0</v>
      </c>
      <c r="M45" s="104">
        <f>муниц!M41+'Лен '!M33+Высокор!M34+Гост!M35+Новотр!M34+Черн!M34</f>
        <v>3.3</v>
      </c>
      <c r="N45" s="104">
        <f>муниц!N41+'Лен '!N33+Высокор!N34+Гост!N35+Новотр!N34+Черн!N34</f>
        <v>0</v>
      </c>
      <c r="O45" s="107">
        <f t="shared" si="5"/>
        <v>0</v>
      </c>
      <c r="P45" s="107"/>
      <c r="Q45" s="115"/>
      <c r="R45" s="115"/>
    </row>
    <row r="46" spans="1:18" ht="18">
      <c r="A46" s="13" t="s">
        <v>15</v>
      </c>
      <c r="B46" s="13">
        <v>1170505005</v>
      </c>
      <c r="C46" s="104">
        <f>муниц!C42+'Лен '!C34+Высокор!C35+Гост!C36+Новотр!C35+Черн!C35</f>
        <v>0</v>
      </c>
      <c r="D46" s="104">
        <f>муниц!D42+'Лен '!D34+Высокор!D35+Гост!D36+Новотр!D35+Черн!D35</f>
        <v>0</v>
      </c>
      <c r="E46" s="108">
        <f>C46+D46</f>
        <v>0</v>
      </c>
      <c r="F46" s="104">
        <f>муниц!F42+'Лен '!F34+Высокор!F35+Гост!F36+Новотр!F35+Черн!F35</f>
        <v>0</v>
      </c>
      <c r="G46" s="104">
        <f>муниц!G42+'Лен '!G34+Высокор!G35+Гост!G36+Новотр!G35+Черн!G35</f>
        <v>0.2</v>
      </c>
      <c r="H46" s="106">
        <f>G46+M46</f>
        <v>0.4</v>
      </c>
      <c r="I46" s="107">
        <f t="shared" si="2"/>
        <v>0</v>
      </c>
      <c r="J46" s="107">
        <f t="shared" si="3"/>
        <v>0</v>
      </c>
      <c r="K46" s="104">
        <f>муниц!K42+'Лен '!K34+Высокор!K35+Гост!K36+Новотр!K35+Черн!K35</f>
        <v>0.2</v>
      </c>
      <c r="L46" s="107">
        <f t="shared" si="4"/>
        <v>2</v>
      </c>
      <c r="M46" s="104">
        <f>муниц!M42+'Лен '!M34+Высокор!M35+Гост!M36+Новотр!M35+Черн!M35</f>
        <v>0.2</v>
      </c>
      <c r="N46" s="104">
        <f>муниц!N42+'Лен '!N34+Высокор!N35+Гост!N36+Новотр!N35+Черн!N35</f>
        <v>0.2</v>
      </c>
      <c r="O46" s="107">
        <f t="shared" si="5"/>
        <v>1</v>
      </c>
      <c r="P46" s="104"/>
      <c r="Q46" s="104"/>
      <c r="R46" s="104"/>
    </row>
    <row r="47" spans="1:18" ht="18">
      <c r="A47" s="16" t="s">
        <v>6</v>
      </c>
      <c r="B47" s="23">
        <v>1000000000</v>
      </c>
      <c r="C47" s="119">
        <f aca="true" t="shared" si="16" ref="C47:H47">C5+C28</f>
        <v>60298.831000000006</v>
      </c>
      <c r="D47" s="120">
        <f t="shared" si="16"/>
        <v>-246.29000000000002</v>
      </c>
      <c r="E47" s="121">
        <f t="shared" si="16"/>
        <v>60052.541</v>
      </c>
      <c r="F47" s="121">
        <f t="shared" si="16"/>
        <v>10389.8</v>
      </c>
      <c r="G47" s="122">
        <f t="shared" si="16"/>
        <v>8682.1</v>
      </c>
      <c r="H47" s="122">
        <f t="shared" si="16"/>
        <v>15904.7</v>
      </c>
      <c r="I47" s="123">
        <f t="shared" si="2"/>
        <v>0.2648464117446754</v>
      </c>
      <c r="J47" s="123">
        <f t="shared" si="3"/>
        <v>1.5307994379102583</v>
      </c>
      <c r="K47" s="120">
        <f>K5+K28</f>
        <v>13806.899999999998</v>
      </c>
      <c r="L47" s="123">
        <f t="shared" si="4"/>
        <v>1.1519385234918775</v>
      </c>
      <c r="M47" s="122">
        <f>M5+M28</f>
        <v>7222.6</v>
      </c>
      <c r="N47" s="122">
        <f>N5+N28</f>
        <v>4859.7</v>
      </c>
      <c r="O47" s="123">
        <f t="shared" si="5"/>
        <v>1.4862234294298002</v>
      </c>
      <c r="P47" s="120">
        <f>P5+P28</f>
        <v>3493.8999999999996</v>
      </c>
      <c r="Q47" s="120">
        <f>Q5+Q28</f>
        <v>3055.5</v>
      </c>
      <c r="R47" s="120">
        <f>R5+R28</f>
        <v>4738.400000000001</v>
      </c>
    </row>
    <row r="48" spans="1:18" ht="18">
      <c r="A48" s="13" t="s">
        <v>40</v>
      </c>
      <c r="B48" s="21">
        <v>2000000000</v>
      </c>
      <c r="C48" s="125">
        <f>муниц!C45</f>
        <v>144495.082</v>
      </c>
      <c r="D48" s="124">
        <f>муниц!D45</f>
        <v>224</v>
      </c>
      <c r="E48" s="108">
        <f>C48+D48</f>
        <v>144719.082</v>
      </c>
      <c r="F48" s="106">
        <f>муниц!F45</f>
        <v>35891.85</v>
      </c>
      <c r="G48" s="106">
        <f>муниц!G45</f>
        <v>17720.4</v>
      </c>
      <c r="H48" s="106">
        <f>G48+M48</f>
        <v>30769.100000000002</v>
      </c>
      <c r="I48" s="107">
        <f t="shared" si="2"/>
        <v>0.2126125979710126</v>
      </c>
      <c r="J48" s="107">
        <f t="shared" si="3"/>
        <v>0.8572726120275217</v>
      </c>
      <c r="K48" s="106">
        <f>муниц!K45</f>
        <v>29337</v>
      </c>
      <c r="L48" s="107">
        <f t="shared" si="4"/>
        <v>1.0488154889729693</v>
      </c>
      <c r="M48" s="106">
        <f>муниц!M45</f>
        <v>13048.7</v>
      </c>
      <c r="N48" s="106">
        <f>муниц!N45</f>
        <v>13477.9</v>
      </c>
      <c r="O48" s="107">
        <f t="shared" si="5"/>
        <v>0.9681552764154654</v>
      </c>
      <c r="P48" s="115"/>
      <c r="Q48" s="115"/>
      <c r="R48" s="115"/>
    </row>
    <row r="49" spans="1:18" ht="18">
      <c r="A49" s="13" t="s">
        <v>51</v>
      </c>
      <c r="B49" s="24" t="s">
        <v>43</v>
      </c>
      <c r="C49" s="104">
        <f>муниц!C46+'Лен '!C38+Высокор!C39+Гост!C40+Новотр!C39+Черн!C39</f>
        <v>30</v>
      </c>
      <c r="D49" s="104">
        <f>муниц!D46+'Лен '!D38+Высокор!D39+Гост!D40+Новотр!D39+Черн!D39</f>
        <v>0</v>
      </c>
      <c r="E49" s="108">
        <f>C49+D49</f>
        <v>30</v>
      </c>
      <c r="F49" s="104">
        <f>муниц!F46+'Лен '!F38+Высокор!F39+Гост!F40+Новотр!F39+Черн!F39</f>
        <v>0</v>
      </c>
      <c r="G49" s="104">
        <f>муниц!G46+'Лен '!G38+Высокор!G39+Гост!G40+Новотр!G39+Черн!G39</f>
        <v>31.5</v>
      </c>
      <c r="H49" s="106">
        <f>G49+M49</f>
        <v>35.3</v>
      </c>
      <c r="I49" s="107">
        <f>IF(E49&gt;0,H49/E49,0)</f>
        <v>1.1766666666666665</v>
      </c>
      <c r="J49" s="107">
        <f>IF(F49&gt;0,H49/F49,0)</f>
        <v>0</v>
      </c>
      <c r="K49" s="104">
        <f>муниц!K46+'Лен '!K38+Высокор!K39+Гост!K40+Новотр!K39+Черн!K39</f>
        <v>969.1000000000001</v>
      </c>
      <c r="L49" s="107">
        <f t="shared" si="4"/>
        <v>0.03642554947889794</v>
      </c>
      <c r="M49" s="104">
        <f>муниц!M46+'Лен '!M38+Высокор!M39+Гост!M40+Новотр!M39+Черн!M39</f>
        <v>3.8</v>
      </c>
      <c r="N49" s="104">
        <f>муниц!N46+'Лен '!N38+Высокор!N39+Гост!N40+Новотр!N39+Черн!N39</f>
        <v>903</v>
      </c>
      <c r="O49" s="107">
        <f t="shared" si="5"/>
        <v>0.004208194905869324</v>
      </c>
      <c r="P49" s="115"/>
      <c r="Q49" s="115"/>
      <c r="R49" s="115"/>
    </row>
    <row r="50" spans="1:18" ht="18.75">
      <c r="A50" s="8" t="s">
        <v>99</v>
      </c>
      <c r="B50" s="135" t="s">
        <v>100</v>
      </c>
      <c r="C50" s="104"/>
      <c r="D50" s="104"/>
      <c r="E50" s="126"/>
      <c r="F50" s="104"/>
      <c r="G50" s="104">
        <f>муниц!G47</f>
        <v>-468.1</v>
      </c>
      <c r="H50" s="106">
        <f>G50+M50</f>
        <v>-468.1</v>
      </c>
      <c r="I50" s="107"/>
      <c r="J50" s="107"/>
      <c r="K50" s="104">
        <f>муниц!K47</f>
        <v>-335.2</v>
      </c>
      <c r="L50" s="107"/>
      <c r="M50" s="104">
        <f>муниц!M47</f>
        <v>0</v>
      </c>
      <c r="N50" s="104"/>
      <c r="O50" s="107"/>
      <c r="P50" s="115"/>
      <c r="Q50" s="115"/>
      <c r="R50" s="115"/>
    </row>
    <row r="51" spans="1:18" ht="18">
      <c r="A51" s="16" t="s">
        <v>2</v>
      </c>
      <c r="B51" s="25"/>
      <c r="C51" s="120">
        <f>C47+C48+C49</f>
        <v>204823.913</v>
      </c>
      <c r="D51" s="120">
        <f>D47+D48+D49</f>
        <v>-22.29000000000002</v>
      </c>
      <c r="E51" s="119">
        <f>E47+E48+E49</f>
        <v>204801.623</v>
      </c>
      <c r="F51" s="120">
        <f>F47+F48+F49</f>
        <v>46281.649999999994</v>
      </c>
      <c r="G51" s="122">
        <f>G47+G48+G49+G50</f>
        <v>25965.9</v>
      </c>
      <c r="H51" s="122">
        <f>H47+H48+H49+H50</f>
        <v>46241.00000000001</v>
      </c>
      <c r="I51" s="123">
        <f t="shared" si="2"/>
        <v>0.2257843435156762</v>
      </c>
      <c r="J51" s="123">
        <f t="shared" si="3"/>
        <v>0.9991216821353607</v>
      </c>
      <c r="K51" s="122">
        <f>K47+K48+K49+K50</f>
        <v>43777.799999999996</v>
      </c>
      <c r="L51" s="123">
        <f t="shared" si="4"/>
        <v>1.0562659612863143</v>
      </c>
      <c r="M51" s="122">
        <f>M47+M48+M49+M50</f>
        <v>20275.100000000002</v>
      </c>
      <c r="N51" s="122">
        <f>N47+N48+N49+N50</f>
        <v>19240.6</v>
      </c>
      <c r="O51" s="123">
        <f t="shared" si="5"/>
        <v>1.0537665145577582</v>
      </c>
      <c r="P51" s="120">
        <f>P47+P48</f>
        <v>3493.8999999999996</v>
      </c>
      <c r="Q51" s="120">
        <f>Q47+Q48</f>
        <v>3055.5</v>
      </c>
      <c r="R51" s="120">
        <f>R47+R48</f>
        <v>4738.400000000001</v>
      </c>
    </row>
    <row r="52" spans="2:18" ht="15">
      <c r="B52" s="26"/>
      <c r="C52" s="26"/>
      <c r="D52" s="26"/>
      <c r="E52" s="26"/>
      <c r="F52" s="26"/>
      <c r="G52" s="26"/>
      <c r="H52" s="27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2:18" ht="1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2:18" ht="1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2:18" ht="1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2:18" ht="1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2:18" ht="1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2:18" ht="1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2:18" ht="1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</row>
    <row r="60" spans="2:18" ht="1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2:18" ht="1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2:18" ht="1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2:18" ht="1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2:18" ht="1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2:18" ht="1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2:18" ht="1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2:18" ht="1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2:18" ht="1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2:18" ht="1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2:18" ht="1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2:18" ht="1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2:18" ht="1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2:18" ht="1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2:18" ht="1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2:18" ht="1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2:18" ht="1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2:18" ht="1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8" spans="2:18" ht="1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2:18" ht="1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2:18" ht="1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2:18" ht="1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</row>
    <row r="82" spans="2:18" ht="1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  <row r="83" spans="2:18" ht="1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</row>
  </sheetData>
  <sheetProtection/>
  <mergeCells count="15">
    <mergeCell ref="D3:D4"/>
    <mergeCell ref="E3:E4"/>
    <mergeCell ref="G3:G4"/>
    <mergeCell ref="F3:F4"/>
    <mergeCell ref="C3:C4"/>
    <mergeCell ref="A1:R1"/>
    <mergeCell ref="A2:R2"/>
    <mergeCell ref="K3:L3"/>
    <mergeCell ref="P3:R3"/>
    <mergeCell ref="M3:M4"/>
    <mergeCell ref="N3:N4"/>
    <mergeCell ref="O3:O4"/>
    <mergeCell ref="H3:J3"/>
    <mergeCell ref="A3:A4"/>
    <mergeCell ref="B3:B4"/>
  </mergeCells>
  <printOptions/>
  <pageMargins left="0.35433070866141736" right="0.15748031496062992" top="0.5905511811023623" bottom="0.1968503937007874" header="0.5118110236220472" footer="0.5118110236220472"/>
  <pageSetup horizontalDpi="600" verticalDpi="600" orientation="landscape" paperSize="9" scale="53" r:id="rId1"/>
  <rowBreaks count="1" manualBreakCount="1">
    <brk id="5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ученик</cp:lastModifiedBy>
  <cp:lastPrinted>2015-04-14T08:31:46Z</cp:lastPrinted>
  <dcterms:created xsi:type="dcterms:W3CDTF">2003-11-05T12:49:21Z</dcterms:created>
  <dcterms:modified xsi:type="dcterms:W3CDTF">2015-04-16T06:50:44Z</dcterms:modified>
  <cp:category/>
  <cp:version/>
  <cp:contentType/>
  <cp:contentStatus/>
</cp:coreProperties>
</file>