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'консолид'!$A$1:$R$57</definedName>
    <definedName name="_xlnm.Print_Area" localSheetId="0">'муниц'!$A$1:$R$47</definedName>
    <definedName name="_xlnm.Print_Area" localSheetId="5">'Черн'!$A$1:$R$40</definedName>
  </definedNames>
  <calcPr fullCalcOnLoad="1"/>
</workbook>
</file>

<file path=xl/sharedStrings.xml><?xml version="1.0" encoding="utf-8"?>
<sst xmlns="http://schemas.openxmlformats.org/spreadsheetml/2006/main" count="437" uniqueCount="128">
  <si>
    <t xml:space="preserve">  ед.налог на ВД</t>
  </si>
  <si>
    <t xml:space="preserve">  арендная плата за землю</t>
  </si>
  <si>
    <t>ВСЕГО ДОХОДОВ</t>
  </si>
  <si>
    <t xml:space="preserve">Н Е Д О И М К А </t>
  </si>
  <si>
    <t>НАИМЕНОВАНИЕ ДОХОДНЫХ ИСТОЧНИКОВ</t>
  </si>
  <si>
    <t>%испол нения к прошло му году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</si>
  <si>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</si>
  <si>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</si>
  <si>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</si>
  <si>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</si>
  <si>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</si>
  <si>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</si>
  <si>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</si>
  <si>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</si>
  <si>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</si>
  <si>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</si>
  <si>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 xml:space="preserve">в т.ч. земельный налог 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</si>
  <si>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</si>
  <si>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</si>
  <si>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</si>
  <si>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</si>
  <si>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</si>
  <si>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%исполнения к уточн годовому плану</t>
  </si>
  <si>
    <t>% исполнения к  прошлому году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</si>
  <si>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</si>
  <si>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</si>
  <si>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</si>
  <si>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</si>
  <si>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</si>
  <si>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</si>
  <si>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</si>
  <si>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</si>
  <si>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</si>
  <si>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</si>
  <si>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</si>
  <si>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</si>
  <si>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</si>
  <si>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</si>
  <si>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 xml:space="preserve">%исполнения к кассовому плану </t>
  </si>
  <si>
    <t>доходы от выдачи патенов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</si>
  <si>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</si>
  <si>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</si>
  <si>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</si>
  <si>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</si>
  <si>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</si>
  <si>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</si>
  <si>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</si>
  <si>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</si>
  <si>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</si>
  <si>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</si>
  <si>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</si>
  <si>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</si>
  <si>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</si>
  <si>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</si>
  <si>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</si>
  <si>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</si>
  <si>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</si>
  <si>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2013 год</t>
  </si>
  <si>
    <t>План на 2014 год</t>
  </si>
  <si>
    <t>Уточненный план на 2014 год</t>
  </si>
  <si>
    <t>2014 год</t>
  </si>
  <si>
    <t>на 01.01.2014года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</si>
  <si>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</si>
  <si>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</si>
  <si>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</si>
  <si>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</si>
  <si>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</si>
  <si>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</si>
  <si>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</si>
  <si>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</si>
  <si>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</si>
  <si>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</si>
  <si>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</si>
  <si>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</si>
  <si>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</si>
  <si>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</si>
  <si>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</si>
  <si>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</si>
  <si>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</si>
  <si>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</si>
  <si>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</si>
  <si>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</si>
  <si>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</si>
  <si>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</si>
  <si>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</si>
  <si>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</si>
  <si>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</si>
  <si>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</si>
  <si>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</si>
  <si>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</si>
  <si>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</si>
  <si>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</si>
  <si>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</si>
  <si>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</si>
  <si>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уточн. план на 2014 год</t>
  </si>
  <si>
    <t>на 1.01.2014г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</si>
  <si>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</si>
  <si>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</si>
  <si>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</si>
  <si>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</si>
  <si>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</si>
  <si>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</si>
  <si>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</si>
  <si>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</si>
  <si>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</si>
  <si>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</si>
  <si>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</si>
  <si>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</si>
  <si>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Кассовый план на 9 месяцев  2014 года</t>
  </si>
  <si>
    <t>Кассовый план на 9 месяцеев  2014 года</t>
  </si>
  <si>
    <t>Фактическое исполнение за январь-август</t>
  </si>
  <si>
    <t>Собств доходы без акцизов</t>
  </si>
  <si>
    <t>на 01.09.2014года</t>
  </si>
  <si>
    <t>на 1.09.2014г</t>
  </si>
  <si>
    <t>Фактическое исполнение за январь-сентябрь</t>
  </si>
  <si>
    <t>Поступило за  сентябрь  2014 года</t>
  </si>
  <si>
    <t>Поступило за  сентябрь 2013 года</t>
  </si>
  <si>
    <t>Поступило за сентябрь   2014 г</t>
  </si>
  <si>
    <t>Поступило за  сентябрь   2013 г</t>
  </si>
  <si>
    <t>Сведения об исполнении бюджета муниципального района по состоянию на 01 октября  2014 года</t>
  </si>
  <si>
    <t>на 01.10.2014года</t>
  </si>
  <si>
    <t xml:space="preserve">об исполнении бюджета Ленинского городского поселения на  01 октября   2014 г. </t>
  </si>
  <si>
    <t>об исполнении бюджета Высокораменского сельского поселения на 01 октября  2014 г.</t>
  </si>
  <si>
    <t>об исполнении бюджета Гостовского сельского поселения на  01 октября  2014г.</t>
  </si>
  <si>
    <t>об исполнении бюджета Новотроицкого сельского поселения на  01 октября   2014 г.</t>
  </si>
  <si>
    <t>об исполнении бюджета Черновского сельского поселения на 01 октября  2014 г.</t>
  </si>
  <si>
    <t xml:space="preserve">об исполнении бюджета муниципального  образования на 01 октября  2014 года </t>
  </si>
  <si>
    <t>на 1.10.2014г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</si>
</sst>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64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64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64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66" fontId="12" fillId="34" borderId="12" xfId="0" applyNumberFormat="1" applyFont="1" applyFill="1" applyBorder="1" applyAlignment="1">
      <alignment wrapText="1"/>
    </xf>
    <xf numFmtId="164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64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65" fontId="13" fillId="33" borderId="12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164" fontId="13" fillId="33" borderId="13" xfId="55" applyNumberFormat="1" applyFont="1" applyFill="1" applyBorder="1" applyAlignment="1">
      <alignment/>
    </xf>
    <xf numFmtId="0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/>
    </xf>
    <xf numFmtId="0" fontId="13" fillId="33" borderId="14" xfId="55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65" fontId="13" fillId="35" borderId="13" xfId="0" applyNumberFormat="1" applyFont="1" applyFill="1" applyBorder="1" applyAlignment="1">
      <alignment/>
    </xf>
    <xf numFmtId="0" fontId="13" fillId="35" borderId="13" xfId="55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5" xfId="55" applyNumberFormat="1" applyFont="1" applyFill="1" applyBorder="1" applyAlignment="1">
      <alignment/>
    </xf>
    <xf numFmtId="0" fontId="13" fillId="33" borderId="12" xfId="55" applyNumberFormat="1" applyFont="1" applyFill="1" applyBorder="1" applyAlignment="1">
      <alignment/>
    </xf>
    <xf numFmtId="0" fontId="13" fillId="35" borderId="12" xfId="55" applyNumberFormat="1" applyFont="1" applyFill="1" applyBorder="1" applyAlignment="1">
      <alignment/>
    </xf>
    <xf numFmtId="164" fontId="13" fillId="33" borderId="12" xfId="55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3" xfId="55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0" fontId="13" fillId="35" borderId="16" xfId="0" applyFont="1" applyFill="1" applyBorder="1" applyAlignment="1">
      <alignment/>
    </xf>
    <xf numFmtId="166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4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13" fillId="33" borderId="12" xfId="55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64" fontId="5" fillId="34" borderId="12" xfId="55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64" fontId="5" fillId="34" borderId="12" xfId="55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/>
    </xf>
    <xf numFmtId="164" fontId="5" fillId="33" borderId="12" xfId="55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6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/>
    </xf>
    <xf numFmtId="164" fontId="5" fillId="36" borderId="12" xfId="55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 vertical="center" wrapText="1"/>
    </xf>
    <xf numFmtId="165" fontId="5" fillId="34" borderId="12" xfId="0" applyNumberFormat="1" applyFont="1" applyFill="1" applyBorder="1" applyAlignment="1">
      <alignment horizontal="right"/>
    </xf>
    <xf numFmtId="165" fontId="11" fillId="34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50" zoomScalePageLayoutView="0" workbookViewId="0" topLeftCell="A1">
      <pane xSplit="2" ySplit="4" topLeftCell="E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" sqref="R6:R30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3" width="15.625" style="0" customWidth="1"/>
    <col min="4" max="4" width="12.25390625" style="0" customWidth="1"/>
    <col min="5" max="5" width="14.375" style="0" customWidth="1"/>
    <col min="6" max="6" width="12.625" style="0" customWidth="1"/>
    <col min="7" max="7" width="12.375" style="0" customWidth="1"/>
    <col min="8" max="9" width="12.625" style="0" customWidth="1"/>
    <col min="10" max="10" width="10.875" style="0" customWidth="1"/>
    <col min="11" max="11" width="12.375" style="0" customWidth="1"/>
    <col min="12" max="12" width="12.75390625" style="0" customWidth="1"/>
    <col min="13" max="14" width="10.875" style="0" customWidth="1"/>
    <col min="15" max="15" width="13.25390625" style="0" customWidth="1"/>
    <col min="16" max="16" width="12.625" style="0" customWidth="1"/>
    <col min="17" max="17" width="12.75390625" style="0" customWidth="1"/>
    <col min="18" max="18" width="10.75390625" style="0" customWidth="1"/>
    <col min="19" max="20" width="9.25390625" style="0" bestFit="1" customWidth="1"/>
  </cols>
  <sheetData>
    <row r="1" spans="1:13" ht="24.75" customHeight="1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customHeight="1">
      <c r="A2" s="136" t="s">
        <v>33</v>
      </c>
      <c r="B2" s="136" t="s">
        <v>6</v>
      </c>
      <c r="C2" s="136" t="s">
        <v>58</v>
      </c>
      <c r="D2" s="136" t="s">
        <v>29</v>
      </c>
      <c r="E2" s="136" t="s">
        <v>59</v>
      </c>
      <c r="F2" s="136" t="s">
        <v>108</v>
      </c>
      <c r="G2" s="136" t="s">
        <v>110</v>
      </c>
      <c r="H2" s="136" t="s">
        <v>60</v>
      </c>
      <c r="I2" s="136"/>
      <c r="J2" s="136"/>
      <c r="K2" s="136" t="s">
        <v>57</v>
      </c>
      <c r="L2" s="136"/>
      <c r="M2" s="136" t="s">
        <v>115</v>
      </c>
      <c r="N2" s="136" t="s">
        <v>116</v>
      </c>
      <c r="O2" s="136" t="s">
        <v>35</v>
      </c>
      <c r="P2" s="136" t="s">
        <v>11</v>
      </c>
      <c r="Q2" s="136"/>
      <c r="R2" s="136"/>
    </row>
    <row r="3" spans="1:18" ht="97.5" customHeight="1">
      <c r="A3" s="136"/>
      <c r="B3" s="136"/>
      <c r="C3" s="136"/>
      <c r="D3" s="136"/>
      <c r="E3" s="136"/>
      <c r="F3" s="136"/>
      <c r="G3" s="136"/>
      <c r="H3" s="47" t="s">
        <v>114</v>
      </c>
      <c r="I3" s="47" t="s">
        <v>12</v>
      </c>
      <c r="J3" s="47" t="s">
        <v>34</v>
      </c>
      <c r="K3" s="47" t="s">
        <v>114</v>
      </c>
      <c r="L3" s="47" t="s">
        <v>35</v>
      </c>
      <c r="M3" s="136"/>
      <c r="N3" s="136"/>
      <c r="O3" s="136"/>
      <c r="P3" s="133" t="s">
        <v>61</v>
      </c>
      <c r="Q3" s="134" t="s">
        <v>112</v>
      </c>
      <c r="R3" s="134" t="s">
        <v>120</v>
      </c>
    </row>
    <row r="4" spans="1:18" ht="18.75">
      <c r="A4" s="35" t="s">
        <v>26</v>
      </c>
      <c r="B4" s="36"/>
      <c r="C4" s="56">
        <f aca="true" t="shared" si="0" ref="C4:H4">C5+C10+C15+C21+C22+C23</f>
        <v>38880.200000000004</v>
      </c>
      <c r="D4" s="56">
        <f t="shared" si="0"/>
        <v>150</v>
      </c>
      <c r="E4" s="56">
        <f t="shared" si="0"/>
        <v>39030.200000000004</v>
      </c>
      <c r="F4" s="56">
        <f t="shared" si="0"/>
        <v>30001</v>
      </c>
      <c r="G4" s="56">
        <f t="shared" si="0"/>
        <v>24970.600000000002</v>
      </c>
      <c r="H4" s="56">
        <f t="shared" si="0"/>
        <v>26661.800000000003</v>
      </c>
      <c r="I4" s="57">
        <f>IF(E4&gt;0,H4/E4,0)</f>
        <v>0.683106927456175</v>
      </c>
      <c r="J4" s="57">
        <f>IF(F4&gt;0,H4/F4,0)</f>
        <v>0.8886970434318857</v>
      </c>
      <c r="K4" s="56">
        <f>K5+K10+K15+K21+K22+K23</f>
        <v>23375.2</v>
      </c>
      <c r="L4" s="57">
        <f aca="true" t="shared" si="1" ref="L4:L47">IF(K4&gt;0,H4/K4,0)</f>
        <v>1.1406020055443378</v>
      </c>
      <c r="M4" s="56">
        <f>M5+M10+M15+M21+M22+M23</f>
        <v>1691.2</v>
      </c>
      <c r="N4" s="56">
        <f>N5+N10+N15+N21+N22+N23</f>
        <v>1812.2</v>
      </c>
      <c r="O4" s="57">
        <f aca="true" t="shared" si="2" ref="O4:O47">IF(N4&gt;0,M4/N4,0)</f>
        <v>0.9332303277783909</v>
      </c>
      <c r="P4" s="56">
        <f>P5+P10+P15+P21+P22+P23</f>
        <v>295</v>
      </c>
      <c r="Q4" s="56">
        <f>Q5+Q10+Q15+Q21+Q22+Q23</f>
        <v>667.9</v>
      </c>
      <c r="R4" s="56">
        <f>R5+R10+R15+R21+R22+R23</f>
        <v>882.6000000000001</v>
      </c>
    </row>
    <row r="5" spans="1:18" ht="18.75">
      <c r="A5" s="37" t="s">
        <v>77</v>
      </c>
      <c r="B5" s="38">
        <v>1010200001</v>
      </c>
      <c r="C5" s="58">
        <f aca="true" t="shared" si="3" ref="C5:H5">SUM(C6:C9)</f>
        <v>14597.7</v>
      </c>
      <c r="D5" s="58">
        <f t="shared" si="3"/>
        <v>0</v>
      </c>
      <c r="E5" s="58">
        <f t="shared" si="3"/>
        <v>14597.7</v>
      </c>
      <c r="F5" s="58">
        <f t="shared" si="3"/>
        <v>11690</v>
      </c>
      <c r="G5" s="58">
        <f t="shared" si="3"/>
        <v>8690.000000000002</v>
      </c>
      <c r="H5" s="58">
        <f t="shared" si="3"/>
        <v>9836.1</v>
      </c>
      <c r="I5" s="59">
        <f>IF(E5&gt;0,H5/E5,0)</f>
        <v>0.6738116278591832</v>
      </c>
      <c r="J5" s="59">
        <f>IF(F5&gt;0,H5/F5,0)</f>
        <v>0.8414114627887084</v>
      </c>
      <c r="K5" s="58">
        <f>SUM(K6:K9)</f>
        <v>13976.199999999999</v>
      </c>
      <c r="L5" s="59">
        <f t="shared" si="1"/>
        <v>0.703774988909718</v>
      </c>
      <c r="M5" s="58">
        <f>SUM(M6:M9)</f>
        <v>1146.1</v>
      </c>
      <c r="N5" s="58">
        <f>SUM(N6:N9)</f>
        <v>1582</v>
      </c>
      <c r="O5" s="59">
        <f t="shared" si="2"/>
        <v>0.7244627054361567</v>
      </c>
      <c r="P5" s="58">
        <f>SUM(P6:P9)</f>
        <v>53</v>
      </c>
      <c r="Q5" s="58">
        <f>SUM(Q6:Q9)</f>
        <v>53.1</v>
      </c>
      <c r="R5" s="58">
        <f>SUM(R6:R9)</f>
        <v>52.199999999999996</v>
      </c>
    </row>
    <row r="6" spans="1:18" ht="18.75" customHeight="1">
      <c r="A6" s="40" t="s">
        <v>48</v>
      </c>
      <c r="B6" s="8">
        <v>1010201001</v>
      </c>
      <c r="C6" s="60">
        <v>14484.6</v>
      </c>
      <c r="D6" s="61"/>
      <c r="E6" s="61">
        <f>C6+D6</f>
        <v>14484.6</v>
      </c>
      <c r="F6" s="61">
        <f>2500+490+3500+5160</f>
        <v>11650</v>
      </c>
      <c r="G6" s="61">
        <v>8656.2</v>
      </c>
      <c r="H6" s="61">
        <f>G6+M6</f>
        <v>9801.7</v>
      </c>
      <c r="I6" s="62">
        <f aca="true" t="shared" si="4" ref="I6:I47">IF(E6&gt;0,H6/E6,0)</f>
        <v>0.6766980103005952</v>
      </c>
      <c r="J6" s="62">
        <f aca="true" t="shared" si="5" ref="J6:J47">IF(F6&gt;0,H6/F6,0)</f>
        <v>0.8413476394849786</v>
      </c>
      <c r="K6" s="61">
        <v>13765.7</v>
      </c>
      <c r="L6" s="62">
        <f t="shared" si="1"/>
        <v>0.7120378912805015</v>
      </c>
      <c r="M6" s="61">
        <v>1145.5</v>
      </c>
      <c r="N6" s="61">
        <v>1579.6</v>
      </c>
      <c r="O6" s="62">
        <f t="shared" si="2"/>
        <v>0.7251835907824766</v>
      </c>
      <c r="P6" s="61">
        <v>51.5</v>
      </c>
      <c r="Q6" s="61">
        <v>51.5</v>
      </c>
      <c r="R6" s="61">
        <v>50.8</v>
      </c>
    </row>
    <row r="7" spans="1:18" ht="15.75" customHeight="1">
      <c r="A7" s="40" t="s">
        <v>49</v>
      </c>
      <c r="B7" s="8">
        <v>1010202001</v>
      </c>
      <c r="C7" s="60">
        <v>33.1</v>
      </c>
      <c r="D7" s="61"/>
      <c r="E7" s="61">
        <f aca="true" t="shared" si="6" ref="E7:E23">C7+D7</f>
        <v>33.1</v>
      </c>
      <c r="F7" s="61">
        <f>10</f>
        <v>10</v>
      </c>
      <c r="G7" s="61">
        <v>9.2</v>
      </c>
      <c r="H7" s="61">
        <f>G7+M7</f>
        <v>9.2</v>
      </c>
      <c r="I7" s="62">
        <f t="shared" si="4"/>
        <v>0.2779456193353474</v>
      </c>
      <c r="J7" s="62">
        <f t="shared" si="5"/>
        <v>0.9199999999999999</v>
      </c>
      <c r="K7" s="61">
        <v>27.4</v>
      </c>
      <c r="L7" s="62">
        <f t="shared" si="1"/>
        <v>0.3357664233576642</v>
      </c>
      <c r="M7" s="61">
        <v>0</v>
      </c>
      <c r="N7" s="61">
        <v>2</v>
      </c>
      <c r="O7" s="62">
        <f t="shared" si="2"/>
        <v>0</v>
      </c>
      <c r="P7" s="61">
        <v>0.2</v>
      </c>
      <c r="Q7" s="61">
        <v>0.1</v>
      </c>
      <c r="R7" s="61">
        <v>0.1</v>
      </c>
    </row>
    <row r="8" spans="1:18" ht="17.25" customHeight="1">
      <c r="A8" s="40" t="s">
        <v>50</v>
      </c>
      <c r="B8" s="8">
        <v>1010203001</v>
      </c>
      <c r="C8" s="60">
        <v>75.6</v>
      </c>
      <c r="D8" s="61"/>
      <c r="E8" s="61">
        <f t="shared" si="6"/>
        <v>75.6</v>
      </c>
      <c r="F8" s="61">
        <f>30</f>
        <v>30</v>
      </c>
      <c r="G8" s="61">
        <v>23.4</v>
      </c>
      <c r="H8" s="61">
        <f>G8+M8</f>
        <v>23.9</v>
      </c>
      <c r="I8" s="62">
        <f t="shared" si="4"/>
        <v>0.31613756613756616</v>
      </c>
      <c r="J8" s="62">
        <f t="shared" si="5"/>
        <v>0.7966666666666666</v>
      </c>
      <c r="K8" s="61">
        <v>177.3</v>
      </c>
      <c r="L8" s="62">
        <f t="shared" si="1"/>
        <v>0.13479977439368301</v>
      </c>
      <c r="M8" s="61">
        <v>0.5</v>
      </c>
      <c r="N8" s="61">
        <v>0.4</v>
      </c>
      <c r="O8" s="62">
        <f t="shared" si="2"/>
        <v>1.25</v>
      </c>
      <c r="P8" s="61">
        <v>1.3</v>
      </c>
      <c r="Q8" s="61">
        <v>1.5</v>
      </c>
      <c r="R8" s="61">
        <v>1.3</v>
      </c>
    </row>
    <row r="9" spans="1:18" ht="18.75" customHeight="1">
      <c r="A9" s="40" t="s">
        <v>40</v>
      </c>
      <c r="B9" s="8">
        <v>1010204001</v>
      </c>
      <c r="C9" s="60">
        <v>4.4</v>
      </c>
      <c r="D9" s="61"/>
      <c r="E9" s="61">
        <f t="shared" si="6"/>
        <v>4.4</v>
      </c>
      <c r="F9" s="61"/>
      <c r="G9" s="61">
        <v>1.2</v>
      </c>
      <c r="H9" s="61">
        <f>G9+M9</f>
        <v>1.3</v>
      </c>
      <c r="I9" s="62">
        <f t="shared" si="4"/>
        <v>0.2954545454545454</v>
      </c>
      <c r="J9" s="62">
        <f t="shared" si="5"/>
        <v>0</v>
      </c>
      <c r="K9" s="61">
        <v>5.8</v>
      </c>
      <c r="L9" s="62">
        <f t="shared" si="1"/>
        <v>0.22413793103448276</v>
      </c>
      <c r="M9" s="61">
        <v>0.1</v>
      </c>
      <c r="N9" s="61"/>
      <c r="O9" s="62">
        <f t="shared" si="2"/>
        <v>0</v>
      </c>
      <c r="P9" s="61"/>
      <c r="Q9" s="61"/>
      <c r="R9" s="61"/>
    </row>
    <row r="10" spans="1:18" ht="18" customHeight="1">
      <c r="A10" s="37" t="s">
        <v>62</v>
      </c>
      <c r="B10" s="39">
        <v>1030200001</v>
      </c>
      <c r="C10" s="58">
        <f aca="true" t="shared" si="7" ref="C10:H10">SUM(C11:C14)</f>
        <v>6852.7</v>
      </c>
      <c r="D10" s="58">
        <f t="shared" si="7"/>
        <v>0</v>
      </c>
      <c r="E10" s="58">
        <f t="shared" si="7"/>
        <v>6852.7</v>
      </c>
      <c r="F10" s="58">
        <f>571+860+1300+1900</f>
        <v>4631</v>
      </c>
      <c r="G10" s="58">
        <f>SUM(G11:G14)</f>
        <v>3704.1</v>
      </c>
      <c r="H10" s="58">
        <f t="shared" si="7"/>
        <v>4134.3</v>
      </c>
      <c r="I10" s="59">
        <f t="shared" si="4"/>
        <v>0.6033096443737506</v>
      </c>
      <c r="J10" s="59">
        <f t="shared" si="5"/>
        <v>0.8927445476139063</v>
      </c>
      <c r="K10" s="58">
        <f>SUM(K11:K14)</f>
        <v>0</v>
      </c>
      <c r="L10" s="59">
        <f t="shared" si="1"/>
        <v>0</v>
      </c>
      <c r="M10" s="58">
        <f>SUM(M11:M14)</f>
        <v>430.2</v>
      </c>
      <c r="N10" s="58">
        <f>SUM(N11:N14)</f>
        <v>0</v>
      </c>
      <c r="O10" s="59">
        <f t="shared" si="2"/>
        <v>0</v>
      </c>
      <c r="P10" s="58">
        <f>SUM(P11:P14)</f>
        <v>0</v>
      </c>
      <c r="Q10" s="58">
        <f>SUM(Q11:Q14)</f>
        <v>0</v>
      </c>
      <c r="R10" s="58">
        <f>SUM(R11:R14)</f>
        <v>0</v>
      </c>
    </row>
    <row r="11" spans="1:18" ht="18.75">
      <c r="A11" s="41" t="s">
        <v>63</v>
      </c>
      <c r="B11" s="41">
        <v>1030223001</v>
      </c>
      <c r="C11" s="60">
        <v>2905.5</v>
      </c>
      <c r="D11" s="61"/>
      <c r="E11" s="61">
        <f t="shared" si="6"/>
        <v>2905.5</v>
      </c>
      <c r="F11" s="61"/>
      <c r="G11" s="61">
        <v>1428.3</v>
      </c>
      <c r="H11" s="61">
        <f>G11+M11</f>
        <v>1570.2</v>
      </c>
      <c r="I11" s="62">
        <f t="shared" si="4"/>
        <v>0.5404233350542076</v>
      </c>
      <c r="J11" s="62">
        <f t="shared" si="5"/>
        <v>0</v>
      </c>
      <c r="K11" s="61"/>
      <c r="L11" s="62">
        <f t="shared" si="1"/>
        <v>0</v>
      </c>
      <c r="M11" s="61">
        <v>141.9</v>
      </c>
      <c r="N11" s="61"/>
      <c r="O11" s="62">
        <f t="shared" si="2"/>
        <v>0</v>
      </c>
      <c r="P11" s="61"/>
      <c r="Q11" s="61"/>
      <c r="R11" s="61"/>
    </row>
    <row r="12" spans="1:18" ht="18.75">
      <c r="A12" s="41" t="s">
        <v>64</v>
      </c>
      <c r="B12" s="41">
        <v>1030224001</v>
      </c>
      <c r="C12" s="60">
        <v>48</v>
      </c>
      <c r="D12" s="61"/>
      <c r="E12" s="61">
        <f t="shared" si="6"/>
        <v>48</v>
      </c>
      <c r="F12" s="61"/>
      <c r="G12" s="61">
        <v>29.5</v>
      </c>
      <c r="H12" s="61">
        <f>G12+M12</f>
        <v>32.7</v>
      </c>
      <c r="I12" s="62">
        <f t="shared" si="4"/>
        <v>0.68125</v>
      </c>
      <c r="J12" s="62">
        <f t="shared" si="5"/>
        <v>0</v>
      </c>
      <c r="K12" s="61"/>
      <c r="L12" s="62">
        <f t="shared" si="1"/>
        <v>0</v>
      </c>
      <c r="M12" s="61">
        <v>3.2</v>
      </c>
      <c r="N12" s="61"/>
      <c r="O12" s="62">
        <f t="shared" si="2"/>
        <v>0</v>
      </c>
      <c r="P12" s="61"/>
      <c r="Q12" s="61"/>
      <c r="R12" s="61"/>
    </row>
    <row r="13" spans="1:18" ht="15.75" customHeight="1">
      <c r="A13" s="41" t="s">
        <v>65</v>
      </c>
      <c r="B13" s="41">
        <v>1030225001</v>
      </c>
      <c r="C13" s="60">
        <v>3707.3</v>
      </c>
      <c r="D13" s="61"/>
      <c r="E13" s="61">
        <f t="shared" si="6"/>
        <v>3707.3</v>
      </c>
      <c r="F13" s="61"/>
      <c r="G13" s="61">
        <v>2258.4</v>
      </c>
      <c r="H13" s="61">
        <f>G13+M13</f>
        <v>2577.2000000000003</v>
      </c>
      <c r="I13" s="62">
        <f t="shared" si="4"/>
        <v>0.6951689909098266</v>
      </c>
      <c r="J13" s="62">
        <f t="shared" si="5"/>
        <v>0</v>
      </c>
      <c r="K13" s="61"/>
      <c r="L13" s="62">
        <f t="shared" si="1"/>
        <v>0</v>
      </c>
      <c r="M13" s="61">
        <v>318.8</v>
      </c>
      <c r="N13" s="61"/>
      <c r="O13" s="62">
        <f t="shared" si="2"/>
        <v>0</v>
      </c>
      <c r="P13" s="61"/>
      <c r="Q13" s="61"/>
      <c r="R13" s="61"/>
    </row>
    <row r="14" spans="1:18" ht="18.75" customHeight="1">
      <c r="A14" s="41" t="s">
        <v>66</v>
      </c>
      <c r="B14" s="41">
        <v>1030226001</v>
      </c>
      <c r="C14" s="60">
        <v>191.9</v>
      </c>
      <c r="D14" s="61"/>
      <c r="E14" s="61">
        <f t="shared" si="6"/>
        <v>191.9</v>
      </c>
      <c r="F14" s="61"/>
      <c r="G14" s="61">
        <v>-12.1</v>
      </c>
      <c r="H14" s="61">
        <f>G14+M14</f>
        <v>-45.800000000000004</v>
      </c>
      <c r="I14" s="62">
        <f t="shared" si="4"/>
        <v>-0.23866597186034394</v>
      </c>
      <c r="J14" s="62">
        <f t="shared" si="5"/>
        <v>0</v>
      </c>
      <c r="K14" s="61"/>
      <c r="L14" s="62">
        <f t="shared" si="1"/>
        <v>0</v>
      </c>
      <c r="M14" s="61">
        <v>-33.7</v>
      </c>
      <c r="N14" s="61"/>
      <c r="O14" s="62">
        <f t="shared" si="2"/>
        <v>0</v>
      </c>
      <c r="P14" s="61"/>
      <c r="Q14" s="61"/>
      <c r="R14" s="61"/>
    </row>
    <row r="15" spans="1:18" ht="18.75">
      <c r="A15" s="37" t="s">
        <v>69</v>
      </c>
      <c r="B15" s="38">
        <v>1050000000</v>
      </c>
      <c r="C15" s="58">
        <f aca="true" t="shared" si="8" ref="C15:H15">SUM(C16:C20)</f>
        <v>14743.1</v>
      </c>
      <c r="D15" s="58">
        <f t="shared" si="8"/>
        <v>150</v>
      </c>
      <c r="E15" s="58">
        <f t="shared" si="8"/>
        <v>14893.1</v>
      </c>
      <c r="F15" s="58">
        <f t="shared" si="8"/>
        <v>11618</v>
      </c>
      <c r="G15" s="58">
        <f>SUM(G16:G20)</f>
        <v>10399.3</v>
      </c>
      <c r="H15" s="58">
        <f t="shared" si="8"/>
        <v>10468.300000000001</v>
      </c>
      <c r="I15" s="59">
        <f t="shared" si="4"/>
        <v>0.7028959719601695</v>
      </c>
      <c r="J15" s="59">
        <f t="shared" si="5"/>
        <v>0.9010414873472199</v>
      </c>
      <c r="K15" s="58">
        <f>SUM(K16:K20)</f>
        <v>7027.8</v>
      </c>
      <c r="L15" s="59">
        <f t="shared" si="1"/>
        <v>1.489555764250548</v>
      </c>
      <c r="M15" s="58">
        <f>SUM(M16:M20)</f>
        <v>69</v>
      </c>
      <c r="N15" s="58">
        <f>SUM(N16:N20)</f>
        <v>123.7</v>
      </c>
      <c r="O15" s="59">
        <f t="shared" si="2"/>
        <v>0.5578011317704122</v>
      </c>
      <c r="P15" s="58">
        <f>SUM(P16:P20)</f>
        <v>155.2</v>
      </c>
      <c r="Q15" s="58">
        <f>SUM(Q16:Q20)</f>
        <v>489.09999999999997</v>
      </c>
      <c r="R15" s="58">
        <f>SUM(R16:R20)</f>
        <v>708.8000000000001</v>
      </c>
    </row>
    <row r="16" spans="1:18" ht="18.75">
      <c r="A16" s="40" t="s">
        <v>67</v>
      </c>
      <c r="B16" s="8">
        <v>1050101001</v>
      </c>
      <c r="C16" s="60">
        <v>9362.2</v>
      </c>
      <c r="D16" s="61"/>
      <c r="E16" s="61">
        <f t="shared" si="6"/>
        <v>9362.2</v>
      </c>
      <c r="F16" s="61">
        <f>1000+500+4080+1930</f>
        <v>7510</v>
      </c>
      <c r="G16" s="61">
        <v>6012.2</v>
      </c>
      <c r="H16" s="61">
        <f aca="true" t="shared" si="9" ref="H16:H23">G16+M16</f>
        <v>6033</v>
      </c>
      <c r="I16" s="62">
        <f t="shared" si="4"/>
        <v>0.6443998205549977</v>
      </c>
      <c r="J16" s="62">
        <f t="shared" si="5"/>
        <v>0.8033288948069242</v>
      </c>
      <c r="K16" s="61">
        <v>3146.9</v>
      </c>
      <c r="L16" s="62">
        <f t="shared" si="1"/>
        <v>1.9171247894753567</v>
      </c>
      <c r="M16" s="61">
        <v>20.8</v>
      </c>
      <c r="N16" s="61">
        <v>116.8</v>
      </c>
      <c r="O16" s="62">
        <f t="shared" si="2"/>
        <v>0.17808219178082194</v>
      </c>
      <c r="P16" s="61">
        <v>81.1</v>
      </c>
      <c r="Q16" s="61">
        <v>422.7</v>
      </c>
      <c r="R16" s="61">
        <v>517.9</v>
      </c>
    </row>
    <row r="17" spans="1:18" ht="18.75">
      <c r="A17" s="40" t="s">
        <v>68</v>
      </c>
      <c r="B17" s="8">
        <v>1050102001</v>
      </c>
      <c r="C17" s="60">
        <v>1949.9</v>
      </c>
      <c r="D17" s="61"/>
      <c r="E17" s="61">
        <f t="shared" si="6"/>
        <v>1949.9</v>
      </c>
      <c r="F17" s="61">
        <f>200+170+370</f>
        <v>740</v>
      </c>
      <c r="G17" s="61">
        <v>822.2</v>
      </c>
      <c r="H17" s="61">
        <f t="shared" si="9"/>
        <v>843.6</v>
      </c>
      <c r="I17" s="62">
        <f t="shared" si="4"/>
        <v>0.43263757115749524</v>
      </c>
      <c r="J17" s="62">
        <f t="shared" si="5"/>
        <v>1.1400000000000001</v>
      </c>
      <c r="K17" s="61">
        <v>592.3</v>
      </c>
      <c r="L17" s="62">
        <f t="shared" si="1"/>
        <v>1.4242782373797063</v>
      </c>
      <c r="M17" s="61">
        <v>21.4</v>
      </c>
      <c r="N17" s="61">
        <v>0.7</v>
      </c>
      <c r="O17" s="62">
        <f t="shared" si="2"/>
        <v>30.571428571428573</v>
      </c>
      <c r="P17" s="61">
        <v>14.9</v>
      </c>
      <c r="Q17" s="61">
        <v>46.7</v>
      </c>
      <c r="R17" s="61">
        <v>46.7</v>
      </c>
    </row>
    <row r="18" spans="1:18" ht="18.75">
      <c r="A18" s="40" t="s">
        <v>0</v>
      </c>
      <c r="B18" s="8">
        <v>1050200002</v>
      </c>
      <c r="C18" s="60">
        <v>3393</v>
      </c>
      <c r="D18" s="61">
        <f>150</f>
        <v>150</v>
      </c>
      <c r="E18" s="61">
        <f t="shared" si="6"/>
        <v>3543</v>
      </c>
      <c r="F18" s="61">
        <f>1000+1080+1250</f>
        <v>3330</v>
      </c>
      <c r="G18" s="61">
        <v>3422.7</v>
      </c>
      <c r="H18" s="61">
        <f t="shared" si="9"/>
        <v>3443</v>
      </c>
      <c r="I18" s="62">
        <f t="shared" si="4"/>
        <v>0.9717753316398532</v>
      </c>
      <c r="J18" s="62">
        <f t="shared" si="5"/>
        <v>1.033933933933934</v>
      </c>
      <c r="K18" s="61">
        <v>3215.5</v>
      </c>
      <c r="L18" s="62">
        <f t="shared" si="1"/>
        <v>1.070751049603483</v>
      </c>
      <c r="M18" s="61">
        <v>20.3</v>
      </c>
      <c r="N18" s="61">
        <v>6.2</v>
      </c>
      <c r="O18" s="62">
        <f t="shared" si="2"/>
        <v>3.274193548387097</v>
      </c>
      <c r="P18" s="61">
        <v>59.2</v>
      </c>
      <c r="Q18" s="61">
        <v>19.7</v>
      </c>
      <c r="R18" s="61">
        <v>137.5</v>
      </c>
    </row>
    <row r="19" spans="1:18" ht="18.75">
      <c r="A19" s="40" t="s">
        <v>9</v>
      </c>
      <c r="B19" s="8">
        <v>1050300001</v>
      </c>
      <c r="C19" s="60">
        <v>2</v>
      </c>
      <c r="D19" s="61"/>
      <c r="E19" s="61">
        <f t="shared" si="6"/>
        <v>2</v>
      </c>
      <c r="F19" s="61">
        <f>1+1</f>
        <v>2</v>
      </c>
      <c r="G19" s="61">
        <v>9.5</v>
      </c>
      <c r="H19" s="61">
        <f t="shared" si="9"/>
        <v>10</v>
      </c>
      <c r="I19" s="62">
        <f t="shared" si="4"/>
        <v>5</v>
      </c>
      <c r="J19" s="62">
        <f t="shared" si="5"/>
        <v>5</v>
      </c>
      <c r="K19" s="61">
        <v>5.5</v>
      </c>
      <c r="L19" s="62">
        <f t="shared" si="1"/>
        <v>1.8181818181818181</v>
      </c>
      <c r="M19" s="61">
        <v>0.5</v>
      </c>
      <c r="N19" s="61"/>
      <c r="O19" s="62">
        <f t="shared" si="2"/>
        <v>0</v>
      </c>
      <c r="P19" s="61"/>
      <c r="Q19" s="61"/>
      <c r="R19" s="61">
        <v>4.5</v>
      </c>
    </row>
    <row r="20" spans="1:18" ht="18.75">
      <c r="A20" s="40" t="s">
        <v>39</v>
      </c>
      <c r="B20" s="8">
        <v>1050402002</v>
      </c>
      <c r="C20" s="60">
        <v>36</v>
      </c>
      <c r="D20" s="61"/>
      <c r="E20" s="61">
        <f t="shared" si="6"/>
        <v>36</v>
      </c>
      <c r="F20" s="61">
        <f>36</f>
        <v>36</v>
      </c>
      <c r="G20" s="61">
        <v>132.7</v>
      </c>
      <c r="H20" s="61">
        <f t="shared" si="9"/>
        <v>138.7</v>
      </c>
      <c r="I20" s="62">
        <f t="shared" si="4"/>
        <v>3.8527777777777774</v>
      </c>
      <c r="J20" s="62">
        <f t="shared" si="5"/>
        <v>3.8527777777777774</v>
      </c>
      <c r="K20" s="61">
        <v>67.6</v>
      </c>
      <c r="L20" s="62">
        <f t="shared" si="1"/>
        <v>2.051775147928994</v>
      </c>
      <c r="M20" s="61">
        <v>6</v>
      </c>
      <c r="N20" s="61"/>
      <c r="O20" s="62">
        <f t="shared" si="2"/>
        <v>0</v>
      </c>
      <c r="P20" s="61"/>
      <c r="Q20" s="61"/>
      <c r="R20" s="61">
        <v>2.2</v>
      </c>
    </row>
    <row r="21" spans="1:18" ht="16.5" customHeight="1">
      <c r="A21" s="37" t="s">
        <v>71</v>
      </c>
      <c r="B21" s="38">
        <v>1060201002</v>
      </c>
      <c r="C21" s="58">
        <v>2383.4</v>
      </c>
      <c r="D21" s="63"/>
      <c r="E21" s="63">
        <f t="shared" si="6"/>
        <v>2383.4</v>
      </c>
      <c r="F21" s="63">
        <f>240+50+740+730</f>
        <v>1760</v>
      </c>
      <c r="G21" s="63">
        <v>1810.4</v>
      </c>
      <c r="H21" s="63">
        <f t="shared" si="9"/>
        <v>1810.3000000000002</v>
      </c>
      <c r="I21" s="59">
        <f t="shared" si="4"/>
        <v>0.7595451875472016</v>
      </c>
      <c r="J21" s="59">
        <f t="shared" si="5"/>
        <v>1.0285795454545457</v>
      </c>
      <c r="K21" s="63">
        <v>2018.7</v>
      </c>
      <c r="L21" s="59">
        <f t="shared" si="1"/>
        <v>0.8967652449596275</v>
      </c>
      <c r="M21" s="63">
        <v>-0.1</v>
      </c>
      <c r="N21" s="63">
        <v>55.4</v>
      </c>
      <c r="O21" s="59">
        <f t="shared" si="2"/>
        <v>-0.0018050541516245488</v>
      </c>
      <c r="P21" s="63">
        <v>86.8</v>
      </c>
      <c r="Q21" s="63">
        <v>125.7</v>
      </c>
      <c r="R21" s="63">
        <v>121.6</v>
      </c>
    </row>
    <row r="22" spans="1:18" ht="18.75">
      <c r="A22" s="37" t="s">
        <v>78</v>
      </c>
      <c r="B22" s="38">
        <v>1080000000</v>
      </c>
      <c r="C22" s="58">
        <v>302</v>
      </c>
      <c r="D22" s="63"/>
      <c r="E22" s="63">
        <f t="shared" si="6"/>
        <v>302</v>
      </c>
      <c r="F22" s="63">
        <f>55+100+147</f>
        <v>302</v>
      </c>
      <c r="G22" s="63">
        <v>366.8</v>
      </c>
      <c r="H22" s="63">
        <f t="shared" si="9"/>
        <v>412.8</v>
      </c>
      <c r="I22" s="59">
        <f t="shared" si="4"/>
        <v>1.366887417218543</v>
      </c>
      <c r="J22" s="59">
        <f t="shared" si="5"/>
        <v>1.366887417218543</v>
      </c>
      <c r="K22" s="63">
        <v>352.2</v>
      </c>
      <c r="L22" s="59">
        <f t="shared" si="1"/>
        <v>1.17206132879046</v>
      </c>
      <c r="M22" s="63">
        <v>46</v>
      </c>
      <c r="N22" s="63">
        <v>51.1</v>
      </c>
      <c r="O22" s="59">
        <f t="shared" si="2"/>
        <v>0.9001956947162426</v>
      </c>
      <c r="P22" s="63"/>
      <c r="Q22" s="63"/>
      <c r="R22" s="63"/>
    </row>
    <row r="23" spans="1:18" ht="19.5" customHeight="1">
      <c r="A23" s="37" t="s">
        <v>70</v>
      </c>
      <c r="B23" s="38">
        <v>1090000000</v>
      </c>
      <c r="C23" s="58">
        <v>1.3</v>
      </c>
      <c r="D23" s="63"/>
      <c r="E23" s="63">
        <f t="shared" si="6"/>
        <v>1.3</v>
      </c>
      <c r="F23" s="63"/>
      <c r="G23" s="63"/>
      <c r="H23" s="63">
        <f t="shared" si="9"/>
        <v>0</v>
      </c>
      <c r="I23" s="59">
        <f t="shared" si="4"/>
        <v>0</v>
      </c>
      <c r="J23" s="59">
        <f t="shared" si="5"/>
        <v>0</v>
      </c>
      <c r="K23" s="63">
        <v>0.3</v>
      </c>
      <c r="L23" s="59">
        <f t="shared" si="1"/>
        <v>0</v>
      </c>
      <c r="M23" s="63"/>
      <c r="N23" s="63"/>
      <c r="O23" s="59">
        <f t="shared" si="2"/>
        <v>0</v>
      </c>
      <c r="P23" s="63"/>
      <c r="Q23" s="63"/>
      <c r="R23" s="63"/>
    </row>
    <row r="24" spans="1:18" ht="18.75">
      <c r="A24" s="42" t="s">
        <v>27</v>
      </c>
      <c r="B24" s="43"/>
      <c r="C24" s="56">
        <f aca="true" t="shared" si="10" ref="C24:H24">C25+C31+C32+C36+C39+C40</f>
        <v>9697.1</v>
      </c>
      <c r="D24" s="56">
        <f t="shared" si="10"/>
        <v>726</v>
      </c>
      <c r="E24" s="56">
        <f t="shared" si="10"/>
        <v>10423.1</v>
      </c>
      <c r="F24" s="56">
        <f t="shared" si="10"/>
        <v>7188.8</v>
      </c>
      <c r="G24" s="56">
        <f>G25+G31+G32+G36+G39+G40</f>
        <v>7211.6</v>
      </c>
      <c r="H24" s="56">
        <f t="shared" si="10"/>
        <v>8485.599999999999</v>
      </c>
      <c r="I24" s="57">
        <f t="shared" si="4"/>
        <v>0.8141148026978536</v>
      </c>
      <c r="J24" s="57">
        <f t="shared" si="5"/>
        <v>1.1803917204540393</v>
      </c>
      <c r="K24" s="56">
        <f>K25+K31+K32+K36+K39+K40</f>
        <v>7977.2</v>
      </c>
      <c r="L24" s="57">
        <f t="shared" si="1"/>
        <v>1.0637316351602064</v>
      </c>
      <c r="M24" s="56">
        <f>M25+M31+M32+M36+M39+M40</f>
        <v>1274</v>
      </c>
      <c r="N24" s="56">
        <f>N25+N31+N32+N36+N39+N40</f>
        <v>1000.7000000000002</v>
      </c>
      <c r="O24" s="57">
        <f t="shared" si="2"/>
        <v>1.2731088238233235</v>
      </c>
      <c r="P24" s="56">
        <f>P25+P31+P32+P36+P39+P40</f>
        <v>451.09999999999997</v>
      </c>
      <c r="Q24" s="56">
        <f>Q25+Q31+Q32+Q36+Q39+Q40</f>
        <v>577.3</v>
      </c>
      <c r="R24" s="56">
        <f>R25+R31+R32+R36+R39+R40</f>
        <v>610.1999999999999</v>
      </c>
    </row>
    <row r="25" spans="1:18" ht="18.75">
      <c r="A25" s="44" t="s">
        <v>75</v>
      </c>
      <c r="B25" s="38">
        <v>1110000000</v>
      </c>
      <c r="C25" s="58">
        <f aca="true" t="shared" si="11" ref="C25:H25">SUM(C26:C30)</f>
        <v>1903.2</v>
      </c>
      <c r="D25" s="58">
        <f t="shared" si="11"/>
        <v>0</v>
      </c>
      <c r="E25" s="58">
        <f t="shared" si="11"/>
        <v>1903.2</v>
      </c>
      <c r="F25" s="58">
        <f t="shared" si="11"/>
        <v>946.2</v>
      </c>
      <c r="G25" s="58">
        <f>SUM(G26:G30)</f>
        <v>1554.2000000000003</v>
      </c>
      <c r="H25" s="58">
        <f t="shared" si="11"/>
        <v>1827.4</v>
      </c>
      <c r="I25" s="59">
        <f t="shared" si="4"/>
        <v>0.9601723413198824</v>
      </c>
      <c r="J25" s="59">
        <f t="shared" si="5"/>
        <v>1.9313041640245192</v>
      </c>
      <c r="K25" s="58">
        <f>SUM(K26:K30)</f>
        <v>1720.1</v>
      </c>
      <c r="L25" s="59">
        <f t="shared" si="1"/>
        <v>1.062380094180571</v>
      </c>
      <c r="M25" s="58">
        <f>SUM(M26:M30)</f>
        <v>273.2</v>
      </c>
      <c r="N25" s="58">
        <f>SUM(N26:N30)</f>
        <v>79.69999999999999</v>
      </c>
      <c r="O25" s="59">
        <f t="shared" si="2"/>
        <v>3.4278544542032625</v>
      </c>
      <c r="P25" s="58">
        <f>SUM(P26:P30)</f>
        <v>451.09999999999997</v>
      </c>
      <c r="Q25" s="58">
        <f>SUM(Q26:Q30)</f>
        <v>577.3</v>
      </c>
      <c r="R25" s="58">
        <f>SUM(R26:R30)</f>
        <v>610.1999999999999</v>
      </c>
    </row>
    <row r="26" spans="1:18" ht="18.75">
      <c r="A26" s="8" t="s">
        <v>25</v>
      </c>
      <c r="B26" s="8">
        <v>1110105005</v>
      </c>
      <c r="C26" s="60"/>
      <c r="D26" s="61"/>
      <c r="E26" s="61">
        <f aca="true" t="shared" si="12" ref="E26:E31">C26+D26</f>
        <v>0</v>
      </c>
      <c r="F26" s="61"/>
      <c r="G26" s="61"/>
      <c r="H26" s="61">
        <f aca="true" t="shared" si="13" ref="H26:H31">G26+M26</f>
        <v>0</v>
      </c>
      <c r="I26" s="62">
        <f t="shared" si="4"/>
        <v>0</v>
      </c>
      <c r="J26" s="62">
        <f t="shared" si="5"/>
        <v>0</v>
      </c>
      <c r="K26" s="61">
        <v>0.3</v>
      </c>
      <c r="L26" s="62">
        <f t="shared" si="1"/>
        <v>0</v>
      </c>
      <c r="M26" s="61"/>
      <c r="N26" s="61"/>
      <c r="O26" s="62">
        <f t="shared" si="2"/>
        <v>0</v>
      </c>
      <c r="P26" s="61"/>
      <c r="Q26" s="61"/>
      <c r="R26" s="61"/>
    </row>
    <row r="27" spans="1:18" ht="18.75">
      <c r="A27" s="8" t="s">
        <v>72</v>
      </c>
      <c r="B27" s="8">
        <v>1110501013</v>
      </c>
      <c r="C27" s="60">
        <v>1398.6</v>
      </c>
      <c r="D27" s="61"/>
      <c r="E27" s="61">
        <f t="shared" si="12"/>
        <v>1398.6</v>
      </c>
      <c r="F27" s="61">
        <f>60+200+200</f>
        <v>460</v>
      </c>
      <c r="G27" s="61">
        <v>872.6</v>
      </c>
      <c r="H27" s="61">
        <f t="shared" si="13"/>
        <v>1027</v>
      </c>
      <c r="I27" s="62">
        <f t="shared" si="4"/>
        <v>0.7343057343057343</v>
      </c>
      <c r="J27" s="62">
        <f t="shared" si="5"/>
        <v>2.232608695652174</v>
      </c>
      <c r="K27" s="61">
        <v>1183.8</v>
      </c>
      <c r="L27" s="62">
        <f t="shared" si="1"/>
        <v>0.8675451934448387</v>
      </c>
      <c r="M27" s="61">
        <v>154.4</v>
      </c>
      <c r="N27" s="61">
        <v>43.5</v>
      </c>
      <c r="O27" s="62">
        <f t="shared" si="2"/>
        <v>3.549425287356322</v>
      </c>
      <c r="P27" s="61">
        <v>168.6</v>
      </c>
      <c r="Q27" s="61">
        <v>53.8</v>
      </c>
      <c r="R27" s="61">
        <v>53.8</v>
      </c>
    </row>
    <row r="28" spans="1:18" ht="18.75">
      <c r="A28" s="8" t="s">
        <v>73</v>
      </c>
      <c r="B28" s="8">
        <v>1110502505</v>
      </c>
      <c r="C28" s="60">
        <v>18.4</v>
      </c>
      <c r="D28" s="61"/>
      <c r="E28" s="61">
        <f t="shared" si="12"/>
        <v>18.4</v>
      </c>
      <c r="F28" s="61"/>
      <c r="G28" s="61"/>
      <c r="H28" s="61">
        <f t="shared" si="13"/>
        <v>0</v>
      </c>
      <c r="I28" s="62">
        <f t="shared" si="4"/>
        <v>0</v>
      </c>
      <c r="J28" s="62">
        <f t="shared" si="5"/>
        <v>0</v>
      </c>
      <c r="K28" s="61"/>
      <c r="L28" s="62">
        <f t="shared" si="1"/>
        <v>0</v>
      </c>
      <c r="M28" s="61"/>
      <c r="N28" s="61"/>
      <c r="O28" s="62">
        <f t="shared" si="2"/>
        <v>0</v>
      </c>
      <c r="P28" s="61">
        <v>68.3</v>
      </c>
      <c r="Q28" s="61">
        <v>8.1</v>
      </c>
      <c r="R28" s="61">
        <v>8.1</v>
      </c>
    </row>
    <row r="29" spans="1:18" ht="18.75">
      <c r="A29" s="8" t="s">
        <v>74</v>
      </c>
      <c r="B29" s="8">
        <v>1110503505</v>
      </c>
      <c r="C29" s="60">
        <v>483.2</v>
      </c>
      <c r="D29" s="61"/>
      <c r="E29" s="61">
        <f t="shared" si="12"/>
        <v>483.2</v>
      </c>
      <c r="F29" s="61">
        <f>180+180+123.2</f>
        <v>483.2</v>
      </c>
      <c r="G29" s="61">
        <v>675.7</v>
      </c>
      <c r="H29" s="61">
        <f t="shared" si="13"/>
        <v>794.5</v>
      </c>
      <c r="I29" s="62">
        <f t="shared" si="4"/>
        <v>1.644246688741722</v>
      </c>
      <c r="J29" s="62">
        <f t="shared" si="5"/>
        <v>1.644246688741722</v>
      </c>
      <c r="K29" s="61">
        <v>532.1</v>
      </c>
      <c r="L29" s="62">
        <f t="shared" si="1"/>
        <v>1.4931403871452733</v>
      </c>
      <c r="M29" s="61">
        <v>118.8</v>
      </c>
      <c r="N29" s="61">
        <v>35.6</v>
      </c>
      <c r="O29" s="62">
        <f t="shared" si="2"/>
        <v>3.337078651685393</v>
      </c>
      <c r="P29" s="61">
        <v>214.2</v>
      </c>
      <c r="Q29" s="61">
        <v>515.4</v>
      </c>
      <c r="R29" s="61">
        <v>548.3</v>
      </c>
    </row>
    <row r="30" spans="1:18" ht="18.75">
      <c r="A30" s="8" t="s">
        <v>28</v>
      </c>
      <c r="B30" s="8">
        <v>1110904505</v>
      </c>
      <c r="C30" s="60">
        <v>3</v>
      </c>
      <c r="D30" s="61"/>
      <c r="E30" s="61">
        <f t="shared" si="12"/>
        <v>3</v>
      </c>
      <c r="F30" s="61">
        <f>3</f>
        <v>3</v>
      </c>
      <c r="G30" s="61">
        <v>5.9</v>
      </c>
      <c r="H30" s="61">
        <f t="shared" si="13"/>
        <v>5.9</v>
      </c>
      <c r="I30" s="62">
        <f t="shared" si="4"/>
        <v>1.9666666666666668</v>
      </c>
      <c r="J30" s="62">
        <f t="shared" si="5"/>
        <v>1.9666666666666668</v>
      </c>
      <c r="K30" s="61">
        <v>3.9</v>
      </c>
      <c r="L30" s="62">
        <f t="shared" si="1"/>
        <v>1.512820512820513</v>
      </c>
      <c r="M30" s="61"/>
      <c r="N30" s="61">
        <v>0.6</v>
      </c>
      <c r="O30" s="62">
        <f t="shared" si="2"/>
        <v>0</v>
      </c>
      <c r="P30" s="61"/>
      <c r="Q30" s="61"/>
      <c r="R30" s="61"/>
    </row>
    <row r="31" spans="1:18" ht="18.75">
      <c r="A31" s="44" t="s">
        <v>79</v>
      </c>
      <c r="B31" s="38">
        <v>1120100000</v>
      </c>
      <c r="C31" s="58">
        <v>177.4</v>
      </c>
      <c r="D31" s="63"/>
      <c r="E31" s="63">
        <f t="shared" si="12"/>
        <v>177.4</v>
      </c>
      <c r="F31" s="63">
        <f>30+50+50</f>
        <v>130</v>
      </c>
      <c r="G31" s="63">
        <v>122.2</v>
      </c>
      <c r="H31" s="63">
        <f t="shared" si="13"/>
        <v>132.4</v>
      </c>
      <c r="I31" s="59">
        <f t="shared" si="4"/>
        <v>0.7463359639233371</v>
      </c>
      <c r="J31" s="59">
        <f t="shared" si="5"/>
        <v>1.0184615384615385</v>
      </c>
      <c r="K31" s="63">
        <v>158.6</v>
      </c>
      <c r="L31" s="59">
        <f t="shared" si="1"/>
        <v>0.8348045397225726</v>
      </c>
      <c r="M31" s="63">
        <v>10.2</v>
      </c>
      <c r="N31" s="63">
        <v>9.9</v>
      </c>
      <c r="O31" s="59">
        <f t="shared" si="2"/>
        <v>1.0303030303030303</v>
      </c>
      <c r="P31" s="63"/>
      <c r="Q31" s="63"/>
      <c r="R31" s="63"/>
    </row>
    <row r="32" spans="1:18" ht="18.75">
      <c r="A32" s="44" t="s">
        <v>80</v>
      </c>
      <c r="B32" s="38">
        <v>1130000000</v>
      </c>
      <c r="C32" s="58">
        <f aca="true" t="shared" si="14" ref="C32:H32">SUM(C33:C35)</f>
        <v>7431</v>
      </c>
      <c r="D32" s="58">
        <f t="shared" si="14"/>
        <v>726</v>
      </c>
      <c r="E32" s="58">
        <f t="shared" si="14"/>
        <v>8157</v>
      </c>
      <c r="F32" s="58">
        <f t="shared" si="14"/>
        <v>5929.6</v>
      </c>
      <c r="G32" s="58">
        <f>SUM(G33:G35)</f>
        <v>5141.099999999999</v>
      </c>
      <c r="H32" s="58">
        <f t="shared" si="14"/>
        <v>6080.199999999999</v>
      </c>
      <c r="I32" s="59">
        <f t="shared" si="4"/>
        <v>0.7453965918842711</v>
      </c>
      <c r="J32" s="59">
        <f t="shared" si="5"/>
        <v>1.0253980032379921</v>
      </c>
      <c r="K32" s="58">
        <f>SUM(K33:K35)</f>
        <v>5281.400000000001</v>
      </c>
      <c r="L32" s="59">
        <f t="shared" si="1"/>
        <v>1.1512477752111179</v>
      </c>
      <c r="M32" s="58">
        <f>SUM(M33:M35)</f>
        <v>939.1</v>
      </c>
      <c r="N32" s="58">
        <f>SUM(N33:N35)</f>
        <v>838.0000000000001</v>
      </c>
      <c r="O32" s="59">
        <f t="shared" si="2"/>
        <v>1.1206443914081143</v>
      </c>
      <c r="P32" s="58">
        <f>SUM(P33:P35)</f>
        <v>0</v>
      </c>
      <c r="Q32" s="58">
        <f>SUM(Q33:Q35)</f>
        <v>0</v>
      </c>
      <c r="R32" s="58">
        <f>SUM(R33:R35)</f>
        <v>0</v>
      </c>
    </row>
    <row r="33" spans="1:18" ht="18.75">
      <c r="A33" s="45" t="s">
        <v>42</v>
      </c>
      <c r="B33" s="45">
        <v>1130199505</v>
      </c>
      <c r="C33" s="60">
        <v>6866</v>
      </c>
      <c r="D33" s="61">
        <f>156+570</f>
        <v>726</v>
      </c>
      <c r="E33" s="61">
        <f>C33+D33</f>
        <v>7592</v>
      </c>
      <c r="F33" s="61">
        <f>1959+156+2013.6+1351</f>
        <v>5479.6</v>
      </c>
      <c r="G33" s="61">
        <v>4674.5</v>
      </c>
      <c r="H33" s="61">
        <f>G33+M33</f>
        <v>5551.9</v>
      </c>
      <c r="I33" s="62">
        <f t="shared" si="4"/>
        <v>0.7312829293993677</v>
      </c>
      <c r="J33" s="62">
        <f t="shared" si="5"/>
        <v>1.0131943937513685</v>
      </c>
      <c r="K33" s="61">
        <v>4595.3</v>
      </c>
      <c r="L33" s="62">
        <f t="shared" si="1"/>
        <v>1.2081692163732507</v>
      </c>
      <c r="M33" s="61">
        <v>877.4</v>
      </c>
      <c r="N33" s="61">
        <v>785.1</v>
      </c>
      <c r="O33" s="62">
        <f t="shared" si="2"/>
        <v>1.1175646414469493</v>
      </c>
      <c r="P33" s="61"/>
      <c r="Q33" s="61"/>
      <c r="R33" s="61"/>
    </row>
    <row r="34" spans="1:18" ht="18.75">
      <c r="A34" s="45" t="s">
        <v>43</v>
      </c>
      <c r="B34" s="45">
        <v>1130206505</v>
      </c>
      <c r="C34" s="60">
        <v>565</v>
      </c>
      <c r="D34" s="61"/>
      <c r="E34" s="61">
        <f>C34+D34</f>
        <v>565</v>
      </c>
      <c r="F34" s="61">
        <f>130+220+100</f>
        <v>450</v>
      </c>
      <c r="G34" s="61">
        <v>412.2</v>
      </c>
      <c r="H34" s="61">
        <f>G34+M34</f>
        <v>472.9</v>
      </c>
      <c r="I34" s="62">
        <f t="shared" si="4"/>
        <v>0.8369911504424778</v>
      </c>
      <c r="J34" s="62">
        <f t="shared" si="5"/>
        <v>1.0508888888888888</v>
      </c>
      <c r="K34" s="61">
        <v>373.3</v>
      </c>
      <c r="L34" s="62">
        <f t="shared" si="1"/>
        <v>1.2668095365657648</v>
      </c>
      <c r="M34" s="61">
        <v>60.7</v>
      </c>
      <c r="N34" s="61">
        <v>19.2</v>
      </c>
      <c r="O34" s="62">
        <f t="shared" si="2"/>
        <v>3.1614583333333335</v>
      </c>
      <c r="P34" s="61"/>
      <c r="Q34" s="61"/>
      <c r="R34" s="61"/>
    </row>
    <row r="35" spans="1:18" ht="18.75">
      <c r="A35" s="45" t="s">
        <v>76</v>
      </c>
      <c r="B35" s="45">
        <v>1130299505</v>
      </c>
      <c r="C35" s="60"/>
      <c r="D35" s="61"/>
      <c r="E35" s="61">
        <f>C35+D35</f>
        <v>0</v>
      </c>
      <c r="F35" s="61"/>
      <c r="G35" s="61">
        <v>54.4</v>
      </c>
      <c r="H35" s="61">
        <f>G35+M35</f>
        <v>55.4</v>
      </c>
      <c r="I35" s="62">
        <f t="shared" si="4"/>
        <v>0</v>
      </c>
      <c r="J35" s="62">
        <f t="shared" si="5"/>
        <v>0</v>
      </c>
      <c r="K35" s="61">
        <v>312.8</v>
      </c>
      <c r="L35" s="62">
        <f t="shared" si="1"/>
        <v>0.17710997442455242</v>
      </c>
      <c r="M35" s="61">
        <v>1</v>
      </c>
      <c r="N35" s="61">
        <v>33.7</v>
      </c>
      <c r="O35" s="62">
        <f t="shared" si="2"/>
        <v>0.029673590504451036</v>
      </c>
      <c r="P35" s="61"/>
      <c r="Q35" s="61"/>
      <c r="R35" s="61"/>
    </row>
    <row r="36" spans="1:18" ht="18.75">
      <c r="A36" s="44" t="s">
        <v>81</v>
      </c>
      <c r="B36" s="38">
        <v>1140000000</v>
      </c>
      <c r="C36" s="58">
        <f aca="true" t="shared" si="15" ref="C36:H36">SUM(C37:C38)</f>
        <v>0</v>
      </c>
      <c r="D36" s="58">
        <f t="shared" si="15"/>
        <v>0</v>
      </c>
      <c r="E36" s="58">
        <f t="shared" si="15"/>
        <v>0</v>
      </c>
      <c r="F36" s="58">
        <f t="shared" si="15"/>
        <v>0</v>
      </c>
      <c r="G36" s="58">
        <f>SUM(G37:G38)</f>
        <v>35.3</v>
      </c>
      <c r="H36" s="58">
        <f t="shared" si="15"/>
        <v>61.3</v>
      </c>
      <c r="I36" s="59">
        <f t="shared" si="4"/>
        <v>0</v>
      </c>
      <c r="J36" s="59">
        <f t="shared" si="5"/>
        <v>0</v>
      </c>
      <c r="K36" s="58">
        <f>SUM(K37:K38)</f>
        <v>376.7</v>
      </c>
      <c r="L36" s="59">
        <f t="shared" si="1"/>
        <v>0.16272896203875764</v>
      </c>
      <c r="M36" s="58">
        <f>SUM(M37:M38)</f>
        <v>26</v>
      </c>
      <c r="N36" s="58">
        <f>SUM(N37:N38)</f>
        <v>42.1</v>
      </c>
      <c r="O36" s="59">
        <f t="shared" si="2"/>
        <v>0.6175771971496437</v>
      </c>
      <c r="P36" s="58">
        <f>SUM(P37:P38)</f>
        <v>0</v>
      </c>
      <c r="Q36" s="58">
        <f>SUM(Q37:Q38)</f>
        <v>0</v>
      </c>
      <c r="R36" s="58">
        <f>SUM(R37:R38)</f>
        <v>0</v>
      </c>
    </row>
    <row r="37" spans="1:18" ht="18.75">
      <c r="A37" s="8" t="s">
        <v>36</v>
      </c>
      <c r="B37" s="8">
        <v>1140205205</v>
      </c>
      <c r="C37" s="60"/>
      <c r="D37" s="61"/>
      <c r="E37" s="61">
        <f>C37+D37</f>
        <v>0</v>
      </c>
      <c r="F37" s="61"/>
      <c r="G37" s="61"/>
      <c r="H37" s="61">
        <f>G37+M37</f>
        <v>26</v>
      </c>
      <c r="I37" s="62">
        <f t="shared" si="4"/>
        <v>0</v>
      </c>
      <c r="J37" s="62">
        <f t="shared" si="5"/>
        <v>0</v>
      </c>
      <c r="K37" s="61"/>
      <c r="L37" s="62">
        <f t="shared" si="1"/>
        <v>0</v>
      </c>
      <c r="M37" s="61">
        <v>26</v>
      </c>
      <c r="N37" s="61"/>
      <c r="O37" s="62">
        <f t="shared" si="2"/>
        <v>0</v>
      </c>
      <c r="P37" s="61"/>
      <c r="Q37" s="61"/>
      <c r="R37" s="61"/>
    </row>
    <row r="38" spans="1:18" ht="18.75">
      <c r="A38" s="8" t="s">
        <v>37</v>
      </c>
      <c r="B38" s="8">
        <v>1140600000</v>
      </c>
      <c r="C38" s="60"/>
      <c r="D38" s="61"/>
      <c r="E38" s="61">
        <f>C38+D38</f>
        <v>0</v>
      </c>
      <c r="F38" s="61"/>
      <c r="G38" s="61">
        <v>35.3</v>
      </c>
      <c r="H38" s="61">
        <f>G38+M38</f>
        <v>35.3</v>
      </c>
      <c r="I38" s="62">
        <f t="shared" si="4"/>
        <v>0</v>
      </c>
      <c r="J38" s="62">
        <f t="shared" si="5"/>
        <v>0</v>
      </c>
      <c r="K38" s="61">
        <v>376.7</v>
      </c>
      <c r="L38" s="62">
        <f t="shared" si="1"/>
        <v>0.09370852136979028</v>
      </c>
      <c r="M38" s="61"/>
      <c r="N38" s="61">
        <v>42.1</v>
      </c>
      <c r="O38" s="62">
        <f t="shared" si="2"/>
        <v>0</v>
      </c>
      <c r="P38" s="61"/>
      <c r="Q38" s="61"/>
      <c r="R38" s="61"/>
    </row>
    <row r="39" spans="1:18" ht="18.75">
      <c r="A39" s="44" t="s">
        <v>82</v>
      </c>
      <c r="B39" s="38">
        <v>1160000000</v>
      </c>
      <c r="C39" s="58">
        <v>185.5</v>
      </c>
      <c r="D39" s="63"/>
      <c r="E39" s="63">
        <f>C39+D39</f>
        <v>185.5</v>
      </c>
      <c r="F39" s="63">
        <f>38+47+98</f>
        <v>183</v>
      </c>
      <c r="G39" s="63">
        <v>358.8</v>
      </c>
      <c r="H39" s="63">
        <f>G39+M39</f>
        <v>384.3</v>
      </c>
      <c r="I39" s="59">
        <f t="shared" si="4"/>
        <v>2.0716981132075474</v>
      </c>
      <c r="J39" s="59">
        <f t="shared" si="5"/>
        <v>2.1</v>
      </c>
      <c r="K39" s="63">
        <v>396.7</v>
      </c>
      <c r="L39" s="59">
        <f t="shared" si="1"/>
        <v>0.9687421225107135</v>
      </c>
      <c r="M39" s="63">
        <v>25.5</v>
      </c>
      <c r="N39" s="63">
        <v>31</v>
      </c>
      <c r="O39" s="59">
        <f t="shared" si="2"/>
        <v>0.8225806451612904</v>
      </c>
      <c r="P39" s="63"/>
      <c r="Q39" s="63"/>
      <c r="R39" s="63"/>
    </row>
    <row r="40" spans="1:18" ht="18.75">
      <c r="A40" s="44" t="s">
        <v>83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0</v>
      </c>
      <c r="H40" s="58">
        <f t="shared" si="16"/>
        <v>0</v>
      </c>
      <c r="I40" s="59">
        <f t="shared" si="4"/>
        <v>0</v>
      </c>
      <c r="J40" s="59">
        <f t="shared" si="5"/>
        <v>0</v>
      </c>
      <c r="K40" s="58">
        <f>SUM(K41:K42)</f>
        <v>43.7</v>
      </c>
      <c r="L40" s="59">
        <f t="shared" si="1"/>
        <v>0</v>
      </c>
      <c r="M40" s="58">
        <f>SUM(M41:M42)</f>
        <v>0</v>
      </c>
      <c r="N40" s="58">
        <f>SUM(N41:N42)</f>
        <v>0</v>
      </c>
      <c r="O40" s="59">
        <f t="shared" si="2"/>
        <v>0</v>
      </c>
      <c r="P40" s="58">
        <f>SUM(P41:P42)</f>
        <v>0</v>
      </c>
      <c r="Q40" s="58">
        <f>SUM(Q41:Q42)</f>
        <v>0</v>
      </c>
      <c r="R40" s="58">
        <f>SUM(R41:R42)</f>
        <v>0</v>
      </c>
    </row>
    <row r="41" spans="1:18" ht="18.75">
      <c r="A41" s="8" t="s">
        <v>10</v>
      </c>
      <c r="B41" s="8">
        <v>1170105005</v>
      </c>
      <c r="C41" s="60"/>
      <c r="D41" s="61"/>
      <c r="E41" s="61">
        <f>C41+D41</f>
        <v>0</v>
      </c>
      <c r="F41" s="61"/>
      <c r="G41" s="61"/>
      <c r="H41" s="61">
        <f>G41+M41</f>
        <v>0</v>
      </c>
      <c r="I41" s="62">
        <f t="shared" si="4"/>
        <v>0</v>
      </c>
      <c r="J41" s="62">
        <f t="shared" si="5"/>
        <v>0</v>
      </c>
      <c r="K41" s="61">
        <v>43.7</v>
      </c>
      <c r="L41" s="62">
        <f t="shared" si="1"/>
        <v>0</v>
      </c>
      <c r="M41" s="61"/>
      <c r="N41" s="61"/>
      <c r="O41" s="62">
        <f t="shared" si="2"/>
        <v>0</v>
      </c>
      <c r="P41" s="61"/>
      <c r="Q41" s="61"/>
      <c r="R41" s="61"/>
    </row>
    <row r="42" spans="1:18" ht="18.75">
      <c r="A42" s="8" t="s">
        <v>17</v>
      </c>
      <c r="B42" s="8">
        <v>1170505005</v>
      </c>
      <c r="C42" s="60"/>
      <c r="D42" s="61"/>
      <c r="E42" s="61">
        <f>C42+D42</f>
        <v>0</v>
      </c>
      <c r="F42" s="61"/>
      <c r="G42" s="61"/>
      <c r="H42" s="61">
        <f>G42+M42</f>
        <v>0</v>
      </c>
      <c r="I42" s="62">
        <f t="shared" si="4"/>
        <v>0</v>
      </c>
      <c r="J42" s="62">
        <f t="shared" si="5"/>
        <v>0</v>
      </c>
      <c r="K42" s="61"/>
      <c r="L42" s="62">
        <f t="shared" si="1"/>
        <v>0</v>
      </c>
      <c r="M42" s="61"/>
      <c r="N42" s="61"/>
      <c r="O42" s="62">
        <f t="shared" si="2"/>
        <v>0</v>
      </c>
      <c r="P42" s="61"/>
      <c r="Q42" s="61"/>
      <c r="R42" s="61"/>
    </row>
    <row r="43" spans="1:18" ht="18.75" customHeight="1">
      <c r="A43" s="43" t="s">
        <v>105</v>
      </c>
      <c r="B43" s="43">
        <v>1000000000</v>
      </c>
      <c r="C43" s="64">
        <f aca="true" t="shared" si="17" ref="C43:H43">C4+C24</f>
        <v>48577.3</v>
      </c>
      <c r="D43" s="64">
        <f t="shared" si="17"/>
        <v>876</v>
      </c>
      <c r="E43" s="64">
        <f t="shared" si="17"/>
        <v>49453.3</v>
      </c>
      <c r="F43" s="56">
        <f t="shared" si="17"/>
        <v>37189.8</v>
      </c>
      <c r="G43" s="56">
        <f>G4+G24</f>
        <v>32182.200000000004</v>
      </c>
      <c r="H43" s="132">
        <f t="shared" si="17"/>
        <v>35147.4</v>
      </c>
      <c r="I43" s="57">
        <f t="shared" si="4"/>
        <v>0.7107190015630909</v>
      </c>
      <c r="J43" s="57">
        <f t="shared" si="5"/>
        <v>0.9450817159543745</v>
      </c>
      <c r="K43" s="56">
        <f>K4+K24</f>
        <v>31352.4</v>
      </c>
      <c r="L43" s="57">
        <f t="shared" si="1"/>
        <v>1.1210433651012364</v>
      </c>
      <c r="M43" s="56">
        <f>M4+M24</f>
        <v>2965.2</v>
      </c>
      <c r="N43" s="56">
        <f>N4+N24</f>
        <v>2812.9</v>
      </c>
      <c r="O43" s="57">
        <f t="shared" si="2"/>
        <v>1.0541434107149203</v>
      </c>
      <c r="P43" s="56">
        <f>P4+P24</f>
        <v>746.0999999999999</v>
      </c>
      <c r="Q43" s="56">
        <f>Q4+Q24</f>
        <v>1245.1999999999998</v>
      </c>
      <c r="R43" s="56">
        <f>R4+R24</f>
        <v>1492.8000000000002</v>
      </c>
    </row>
    <row r="44" spans="1:18" ht="18.75" customHeight="1">
      <c r="A44" s="43" t="s">
        <v>107</v>
      </c>
      <c r="B44" s="43"/>
      <c r="C44" s="64">
        <f>C43-C10-6200</f>
        <v>35524.600000000006</v>
      </c>
      <c r="D44" s="64">
        <f>D43-D10-156</f>
        <v>720</v>
      </c>
      <c r="E44" s="64">
        <f>C44+D44</f>
        <v>36244.600000000006</v>
      </c>
      <c r="F44" s="56">
        <f>F43-F10-3825.6</f>
        <v>28733.200000000004</v>
      </c>
      <c r="G44" s="56">
        <f>G43-G10-4221.1</f>
        <v>24257.000000000007</v>
      </c>
      <c r="H44" s="132">
        <f>G44+M44</f>
        <v>26017.500000000007</v>
      </c>
      <c r="I44" s="57">
        <f>IF(E44&gt;0,H44/E44,0)</f>
        <v>0.7178310700076702</v>
      </c>
      <c r="J44" s="57">
        <f>IF(F44&gt;0,H44/F44,0)</f>
        <v>0.9054856403045956</v>
      </c>
      <c r="K44" s="56">
        <f>K43-3290.1</f>
        <v>28062.300000000003</v>
      </c>
      <c r="L44" s="57">
        <f t="shared" si="1"/>
        <v>0.92713355640842</v>
      </c>
      <c r="M44" s="56">
        <f>M43-M10-774.5</f>
        <v>1760.5</v>
      </c>
      <c r="N44" s="56">
        <f>N43-153.9</f>
        <v>2659</v>
      </c>
      <c r="O44" s="57">
        <f t="shared" si="2"/>
        <v>0.6620910116585182</v>
      </c>
      <c r="P44" s="56"/>
      <c r="Q44" s="56"/>
      <c r="R44" s="56"/>
    </row>
    <row r="45" spans="1:18" ht="18.75">
      <c r="A45" s="8" t="s">
        <v>44</v>
      </c>
      <c r="B45" s="8">
        <v>2000000000</v>
      </c>
      <c r="C45" s="60">
        <v>164739.29</v>
      </c>
      <c r="D45" s="61">
        <f>-1038.569+132.048-10608.596+279.4+9.5</f>
        <v>-11226.217</v>
      </c>
      <c r="E45" s="61">
        <f>C45+D45</f>
        <v>153513.073</v>
      </c>
      <c r="F45" s="61">
        <f>37333.4+40320.43+39101.3</f>
        <v>116755.13</v>
      </c>
      <c r="G45" s="61">
        <v>99564.8</v>
      </c>
      <c r="H45" s="61">
        <f>G45+M45</f>
        <v>110125.2</v>
      </c>
      <c r="I45" s="62">
        <f t="shared" si="4"/>
        <v>0.717366917669611</v>
      </c>
      <c r="J45" s="62">
        <f t="shared" si="5"/>
        <v>0.9432150861379709</v>
      </c>
      <c r="K45" s="61">
        <v>110253.4</v>
      </c>
      <c r="L45" s="62">
        <f t="shared" si="1"/>
        <v>0.9988372240674664</v>
      </c>
      <c r="M45" s="61">
        <v>10560.4</v>
      </c>
      <c r="N45" s="61">
        <v>11081.9</v>
      </c>
      <c r="O45" s="62">
        <f t="shared" si="2"/>
        <v>0.9529412826320396</v>
      </c>
      <c r="P45" s="61"/>
      <c r="Q45" s="61"/>
      <c r="R45" s="61"/>
    </row>
    <row r="46" spans="1:18" ht="18.75">
      <c r="A46" s="8" t="s">
        <v>55</v>
      </c>
      <c r="B46" s="46" t="s">
        <v>45</v>
      </c>
      <c r="C46" s="60"/>
      <c r="D46" s="61">
        <f>101.79+483+130</f>
        <v>714.79</v>
      </c>
      <c r="E46" s="61">
        <f>C46+D46</f>
        <v>714.79</v>
      </c>
      <c r="F46" s="61"/>
      <c r="G46" s="61">
        <v>763</v>
      </c>
      <c r="H46" s="61">
        <f>G46+M46</f>
        <v>775.9</v>
      </c>
      <c r="I46" s="62">
        <f t="shared" si="4"/>
        <v>1.0854936414891088</v>
      </c>
      <c r="J46" s="62">
        <f t="shared" si="5"/>
        <v>0</v>
      </c>
      <c r="K46" s="61">
        <v>32.3</v>
      </c>
      <c r="L46" s="62">
        <f t="shared" si="1"/>
        <v>24.02167182662539</v>
      </c>
      <c r="M46" s="61">
        <v>12.9</v>
      </c>
      <c r="N46" s="61"/>
      <c r="O46" s="62">
        <f t="shared" si="2"/>
        <v>0</v>
      </c>
      <c r="P46" s="61"/>
      <c r="Q46" s="61"/>
      <c r="R46" s="61"/>
    </row>
    <row r="47" spans="1:18" ht="18.75">
      <c r="A47" s="43" t="s">
        <v>2</v>
      </c>
      <c r="B47" s="43">
        <v>0</v>
      </c>
      <c r="C47" s="65">
        <f aca="true" t="shared" si="18" ref="C47:H47">C43+C45+C46</f>
        <v>213316.59000000003</v>
      </c>
      <c r="D47" s="64">
        <f t="shared" si="18"/>
        <v>-9635.427</v>
      </c>
      <c r="E47" s="64">
        <f t="shared" si="18"/>
        <v>203681.16300000003</v>
      </c>
      <c r="F47" s="132">
        <f t="shared" si="18"/>
        <v>153944.93</v>
      </c>
      <c r="G47" s="56">
        <f t="shared" si="18"/>
        <v>132510</v>
      </c>
      <c r="H47" s="56">
        <f t="shared" si="18"/>
        <v>146048.5</v>
      </c>
      <c r="I47" s="57">
        <f t="shared" si="4"/>
        <v>0.7170447077621998</v>
      </c>
      <c r="J47" s="57">
        <f t="shared" si="5"/>
        <v>0.9487061379676486</v>
      </c>
      <c r="K47" s="56">
        <f>K43+K45+K46</f>
        <v>141638.09999999998</v>
      </c>
      <c r="L47" s="57">
        <f t="shared" si="1"/>
        <v>1.0311385142839393</v>
      </c>
      <c r="M47" s="56">
        <f>M43+M45+M46</f>
        <v>13538.499999999998</v>
      </c>
      <c r="N47" s="132">
        <f>N43+N45+N46</f>
        <v>13894.8</v>
      </c>
      <c r="O47" s="57">
        <f t="shared" si="2"/>
        <v>0.9743573135273627</v>
      </c>
      <c r="P47" s="56">
        <f>P43+P45+P46</f>
        <v>746.0999999999999</v>
      </c>
      <c r="Q47" s="56">
        <f>Q43+Q45+Q46</f>
        <v>1245.1999999999998</v>
      </c>
      <c r="R47" s="56">
        <f>R43+R45+R46</f>
        <v>1492.8000000000002</v>
      </c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14">
    <mergeCell ref="E2:E3"/>
    <mergeCell ref="F2:F3"/>
    <mergeCell ref="G2:G3"/>
    <mergeCell ref="H2:J2"/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7" sqref="R7:R25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5.00390625" style="0" customWidth="1"/>
    <col min="4" max="4" width="15.125" style="0" customWidth="1"/>
    <col min="5" max="5" width="15.375" style="0" customWidth="1"/>
    <col min="6" max="6" width="14.00390625" style="0" customWidth="1"/>
    <col min="7" max="7" width="10.125" style="0" customWidth="1"/>
    <col min="8" max="8" width="11.125" style="0" customWidth="1"/>
    <col min="9" max="9" width="11.00390625" style="0" customWidth="1"/>
    <col min="10" max="10" width="12.75390625" style="0" customWidth="1"/>
    <col min="11" max="11" width="11.375" style="0" customWidth="1"/>
    <col min="12" max="12" width="13.375" style="0" customWidth="1"/>
    <col min="13" max="13" width="10.875" style="0" customWidth="1"/>
    <col min="14" max="14" width="10.625" style="0" customWidth="1"/>
    <col min="15" max="15" width="12.37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38" t="s">
        <v>13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0"/>
      <c r="P1" s="26"/>
      <c r="Q1" s="26"/>
      <c r="R1" s="26"/>
    </row>
    <row r="2" spans="1:18" ht="15.75">
      <c r="A2" s="26"/>
      <c r="B2" s="139" t="s">
        <v>121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3.5" customHeight="1" thickBot="1">
      <c r="A3" s="142" t="s">
        <v>4</v>
      </c>
      <c r="B3" s="140" t="s">
        <v>6</v>
      </c>
      <c r="C3" s="140" t="s">
        <v>58</v>
      </c>
      <c r="D3" s="140" t="s">
        <v>29</v>
      </c>
      <c r="E3" s="140" t="s">
        <v>59</v>
      </c>
      <c r="F3" s="136" t="s">
        <v>109</v>
      </c>
      <c r="G3" s="136" t="s">
        <v>110</v>
      </c>
      <c r="H3" s="136" t="s">
        <v>60</v>
      </c>
      <c r="I3" s="136"/>
      <c r="J3" s="136"/>
      <c r="K3" s="136" t="s">
        <v>57</v>
      </c>
      <c r="L3" s="136"/>
      <c r="M3" s="136" t="s">
        <v>115</v>
      </c>
      <c r="N3" s="136" t="s">
        <v>116</v>
      </c>
      <c r="O3" s="141" t="s">
        <v>23</v>
      </c>
      <c r="P3" s="141" t="s">
        <v>11</v>
      </c>
      <c r="Q3" s="141"/>
      <c r="R3" s="141"/>
    </row>
    <row r="4" spans="1:21" ht="111" customHeight="1" thickBot="1">
      <c r="A4" s="143"/>
      <c r="B4" s="144"/>
      <c r="C4" s="144"/>
      <c r="D4" s="144"/>
      <c r="E4" s="140"/>
      <c r="F4" s="136"/>
      <c r="G4" s="136"/>
      <c r="H4" s="47" t="s">
        <v>114</v>
      </c>
      <c r="I4" s="47" t="s">
        <v>12</v>
      </c>
      <c r="J4" s="47" t="s">
        <v>34</v>
      </c>
      <c r="K4" s="47" t="s">
        <v>114</v>
      </c>
      <c r="L4" s="47" t="s">
        <v>35</v>
      </c>
      <c r="M4" s="136"/>
      <c r="N4" s="136"/>
      <c r="O4" s="141"/>
      <c r="P4" s="133" t="s">
        <v>61</v>
      </c>
      <c r="Q4" s="134" t="s">
        <v>112</v>
      </c>
      <c r="R4" s="134" t="s">
        <v>120</v>
      </c>
      <c r="S4" s="1"/>
      <c r="T4" s="1"/>
      <c r="U4" s="2"/>
    </row>
    <row r="5" spans="1:21" ht="21.75" customHeight="1">
      <c r="A5" s="51" t="s">
        <v>26</v>
      </c>
      <c r="B5" s="52"/>
      <c r="C5" s="99">
        <f aca="true" t="shared" si="0" ref="C5:H5">C6+C15+C17+C22+C10</f>
        <v>7627.300000000001</v>
      </c>
      <c r="D5" s="99">
        <f t="shared" si="0"/>
        <v>0</v>
      </c>
      <c r="E5" s="99">
        <f t="shared" si="0"/>
        <v>7627.300000000001</v>
      </c>
      <c r="F5" s="99">
        <f t="shared" si="0"/>
        <v>4612</v>
      </c>
      <c r="G5" s="99">
        <f t="shared" si="0"/>
        <v>4677.7</v>
      </c>
      <c r="H5" s="99">
        <f t="shared" si="0"/>
        <v>5311.3</v>
      </c>
      <c r="I5" s="100">
        <f>IF(E5&gt;0,H5/E5,0)</f>
        <v>0.6963538866964718</v>
      </c>
      <c r="J5" s="100">
        <f>IF(F5&gt;0,H5/F5,0)</f>
        <v>1.151626192541197</v>
      </c>
      <c r="K5" s="99">
        <f>K6+K15+K17+K22+K10</f>
        <v>4148.6</v>
      </c>
      <c r="L5" s="100">
        <f aca="true" t="shared" si="1" ref="L5:L39">IF(K5&gt;0,H5/K5,0)</f>
        <v>1.2802632213276768</v>
      </c>
      <c r="M5" s="99">
        <f>M6+M15+M17+M22+M10</f>
        <v>633.6</v>
      </c>
      <c r="N5" s="99">
        <f>N6+N15+N17+N22+N10</f>
        <v>550.0999999999999</v>
      </c>
      <c r="O5" s="100">
        <f aca="true" t="shared" si="2" ref="O5:O21">IF(N5&gt;0,M5/N5,0)</f>
        <v>1.1517905835302675</v>
      </c>
      <c r="P5" s="99">
        <f>P6+P15+P17+P22+P10</f>
        <v>1094.4</v>
      </c>
      <c r="Q5" s="99">
        <f>Q6+Q15+Q17+Q22+Q10</f>
        <v>656.0000000000001</v>
      </c>
      <c r="R5" s="99">
        <f>R6+R15+R17+R22+R10</f>
        <v>622.3999999999999</v>
      </c>
      <c r="S5" s="4"/>
      <c r="T5" s="4"/>
      <c r="U5" s="4"/>
    </row>
    <row r="6" spans="1:18" ht="18" customHeight="1">
      <c r="A6" s="9" t="s">
        <v>77</v>
      </c>
      <c r="B6" s="53">
        <v>1010200001</v>
      </c>
      <c r="C6" s="75">
        <f aca="true" t="shared" si="3" ref="C6:H6">C7+C8+C9</f>
        <v>4250.900000000001</v>
      </c>
      <c r="D6" s="75">
        <f t="shared" si="3"/>
        <v>0</v>
      </c>
      <c r="E6" s="75">
        <f t="shared" si="3"/>
        <v>4250.900000000001</v>
      </c>
      <c r="F6" s="75">
        <f t="shared" si="3"/>
        <v>3009</v>
      </c>
      <c r="G6" s="75">
        <f t="shared" si="3"/>
        <v>2612.2999999999997</v>
      </c>
      <c r="H6" s="75">
        <f t="shared" si="3"/>
        <v>2966.1</v>
      </c>
      <c r="I6" s="96">
        <f aca="true" t="shared" si="4" ref="I6:I39">IF(E6&gt;0,H6/E6,0)</f>
        <v>0.697758121809499</v>
      </c>
      <c r="J6" s="96">
        <f>IF(F6&gt;0,H6/F6,0)</f>
        <v>0.9857427716849452</v>
      </c>
      <c r="K6" s="75">
        <f>K7+K8+K9</f>
        <v>3024.6000000000004</v>
      </c>
      <c r="L6" s="96">
        <f t="shared" si="1"/>
        <v>0.9806585994842292</v>
      </c>
      <c r="M6" s="75">
        <f>M7+M8+M9</f>
        <v>353.8</v>
      </c>
      <c r="N6" s="75">
        <f>N7+N8+N9</f>
        <v>321.9</v>
      </c>
      <c r="O6" s="96">
        <f t="shared" si="2"/>
        <v>1.0990990990990992</v>
      </c>
      <c r="P6" s="75">
        <f>P7+P8+P9</f>
        <v>0.6</v>
      </c>
      <c r="Q6" s="75">
        <f>Q7+Q8+Q9</f>
        <v>0.7</v>
      </c>
      <c r="R6" s="75">
        <f>R7+R8+R9</f>
        <v>0.8</v>
      </c>
    </row>
    <row r="7" spans="1:18" ht="18">
      <c r="A7" s="10" t="s">
        <v>53</v>
      </c>
      <c r="B7" s="13">
        <v>1010201001</v>
      </c>
      <c r="C7" s="74">
        <v>4221.1</v>
      </c>
      <c r="D7" s="70"/>
      <c r="E7" s="74">
        <f>C7+D7</f>
        <v>4221.1</v>
      </c>
      <c r="F7" s="74">
        <f>890+1070+1040</f>
        <v>3000</v>
      </c>
      <c r="G7" s="70">
        <v>2601.4</v>
      </c>
      <c r="H7" s="70">
        <f>G7+M7</f>
        <v>2955.1</v>
      </c>
      <c r="I7" s="85">
        <f t="shared" si="4"/>
        <v>0.7000781786738053</v>
      </c>
      <c r="J7" s="85">
        <f aca="true" t="shared" si="5" ref="J7:J39">IF(F7&gt;0,H7/F7,0)</f>
        <v>0.9850333333333333</v>
      </c>
      <c r="K7" s="83">
        <v>2969.5</v>
      </c>
      <c r="L7" s="85">
        <f t="shared" si="1"/>
        <v>0.9951506987708368</v>
      </c>
      <c r="M7" s="70">
        <v>353.7</v>
      </c>
      <c r="N7" s="83">
        <v>321.2</v>
      </c>
      <c r="O7" s="85">
        <f t="shared" si="2"/>
        <v>1.1011830635118307</v>
      </c>
      <c r="P7" s="74"/>
      <c r="Q7" s="74"/>
      <c r="R7" s="74">
        <v>0.2</v>
      </c>
    </row>
    <row r="8" spans="1:18" ht="18">
      <c r="A8" s="10" t="s">
        <v>52</v>
      </c>
      <c r="B8" s="13">
        <v>1010202001</v>
      </c>
      <c r="C8" s="74">
        <v>13.3</v>
      </c>
      <c r="D8" s="70"/>
      <c r="E8" s="74">
        <f>C8+D8</f>
        <v>13.3</v>
      </c>
      <c r="F8" s="74"/>
      <c r="G8" s="74">
        <v>3.2</v>
      </c>
      <c r="H8" s="70">
        <f>G8+M8</f>
        <v>3.2</v>
      </c>
      <c r="I8" s="85">
        <f t="shared" si="4"/>
        <v>0.24060150375939848</v>
      </c>
      <c r="J8" s="85">
        <f t="shared" si="5"/>
        <v>0</v>
      </c>
      <c r="K8" s="83">
        <v>7.8</v>
      </c>
      <c r="L8" s="85">
        <f t="shared" si="1"/>
        <v>0.4102564102564103</v>
      </c>
      <c r="M8" s="74">
        <v>0</v>
      </c>
      <c r="N8" s="83">
        <v>0.5</v>
      </c>
      <c r="O8" s="85">
        <f>IF(N8&gt;0,M8/N8,0)</f>
        <v>0</v>
      </c>
      <c r="P8" s="74">
        <v>0.1</v>
      </c>
      <c r="Q8" s="74">
        <v>0.1</v>
      </c>
      <c r="R8" s="74">
        <v>0.1</v>
      </c>
    </row>
    <row r="9" spans="1:18" ht="18">
      <c r="A9" s="10" t="s">
        <v>50</v>
      </c>
      <c r="B9" s="13">
        <v>1010203001</v>
      </c>
      <c r="C9" s="74">
        <v>16.5</v>
      </c>
      <c r="D9" s="74"/>
      <c r="E9" s="74">
        <f>C9+D9</f>
        <v>16.5</v>
      </c>
      <c r="F9" s="74">
        <f>3+3+3</f>
        <v>9</v>
      </c>
      <c r="G9" s="74">
        <v>7.7</v>
      </c>
      <c r="H9" s="70">
        <f>G9+M9</f>
        <v>7.8</v>
      </c>
      <c r="I9" s="85">
        <f t="shared" si="4"/>
        <v>0.4727272727272727</v>
      </c>
      <c r="J9" s="85">
        <f t="shared" si="5"/>
        <v>0.8666666666666667</v>
      </c>
      <c r="K9" s="83">
        <v>47.3</v>
      </c>
      <c r="L9" s="85">
        <f t="shared" si="1"/>
        <v>0.1649048625792812</v>
      </c>
      <c r="M9" s="74">
        <v>0.1</v>
      </c>
      <c r="N9" s="83">
        <v>0.2</v>
      </c>
      <c r="O9" s="85">
        <f t="shared" si="2"/>
        <v>0.5</v>
      </c>
      <c r="P9" s="74">
        <v>0.5</v>
      </c>
      <c r="Q9" s="74">
        <v>0.6</v>
      </c>
      <c r="R9" s="74">
        <v>0.5</v>
      </c>
    </row>
    <row r="10" spans="1:18" ht="20.25" customHeight="1">
      <c r="A10" s="11" t="s">
        <v>62</v>
      </c>
      <c r="B10" s="19">
        <v>1030200001</v>
      </c>
      <c r="C10" s="75">
        <f aca="true" t="shared" si="6" ref="C10:H10">SUM(C11:C14)</f>
        <v>1199.5</v>
      </c>
      <c r="D10" s="75">
        <f t="shared" si="6"/>
        <v>0</v>
      </c>
      <c r="E10" s="75">
        <f t="shared" si="6"/>
        <v>1199.5</v>
      </c>
      <c r="F10" s="75">
        <f t="shared" si="6"/>
        <v>903.4</v>
      </c>
      <c r="G10" s="75">
        <f>SUM(G11:G14)</f>
        <v>648.9</v>
      </c>
      <c r="H10" s="75">
        <f t="shared" si="6"/>
        <v>724.3</v>
      </c>
      <c r="I10" s="96">
        <f>IF(E10&gt;0,H10/E10,0)</f>
        <v>0.6038349312213422</v>
      </c>
      <c r="J10" s="96">
        <f>IF(F10&gt;0,H10/F10,0)</f>
        <v>0.801748948417091</v>
      </c>
      <c r="K10" s="75">
        <f>SUM(K11:K14)</f>
        <v>0</v>
      </c>
      <c r="L10" s="96">
        <f t="shared" si="1"/>
        <v>0</v>
      </c>
      <c r="M10" s="75">
        <f>SUM(M11:M14)</f>
        <v>75.39999999999999</v>
      </c>
      <c r="N10" s="75">
        <f>SUM(N11:N14)</f>
        <v>0</v>
      </c>
      <c r="O10" s="96">
        <f t="shared" si="2"/>
        <v>0</v>
      </c>
      <c r="P10" s="75">
        <f>SUM(P11:P14)</f>
        <v>0</v>
      </c>
      <c r="Q10" s="75">
        <f>SUM(Q11:Q14)</f>
        <v>0</v>
      </c>
      <c r="R10" s="75">
        <f>SUM(R11:R14)</f>
        <v>0</v>
      </c>
    </row>
    <row r="11" spans="1:18" ht="18.75" customHeight="1">
      <c r="A11" s="12" t="s">
        <v>63</v>
      </c>
      <c r="B11" s="12">
        <v>1030223001</v>
      </c>
      <c r="C11" s="74">
        <v>508.6</v>
      </c>
      <c r="D11" s="74"/>
      <c r="E11" s="69">
        <f>C11+D11</f>
        <v>508.6</v>
      </c>
      <c r="F11" s="69">
        <f>127.2+127.2+120</f>
        <v>374.4</v>
      </c>
      <c r="G11" s="74">
        <v>250.2</v>
      </c>
      <c r="H11" s="71">
        <f>G11+M11</f>
        <v>275.09999999999997</v>
      </c>
      <c r="I11" s="72">
        <f>IF(E11&gt;0,H11/E11,0)</f>
        <v>0.5408965788438851</v>
      </c>
      <c r="J11" s="72">
        <f>IF(F11&gt;0,H11/F11,0)</f>
        <v>0.734775641025641</v>
      </c>
      <c r="K11" s="73"/>
      <c r="L11" s="72">
        <f t="shared" si="1"/>
        <v>0</v>
      </c>
      <c r="M11" s="74">
        <v>24.9</v>
      </c>
      <c r="N11" s="73"/>
      <c r="O11" s="72">
        <f t="shared" si="2"/>
        <v>0</v>
      </c>
      <c r="P11" s="74"/>
      <c r="Q11" s="74"/>
      <c r="R11" s="74"/>
    </row>
    <row r="12" spans="1:18" ht="18" customHeight="1">
      <c r="A12" s="12" t="s">
        <v>64</v>
      </c>
      <c r="B12" s="12">
        <v>1030224001</v>
      </c>
      <c r="C12" s="74">
        <v>8.4</v>
      </c>
      <c r="D12" s="74"/>
      <c r="E12" s="69">
        <f>C12+D12</f>
        <v>8.4</v>
      </c>
      <c r="F12" s="69">
        <f>2.1+2.1+2.4</f>
        <v>6.6</v>
      </c>
      <c r="G12" s="74">
        <v>5.2</v>
      </c>
      <c r="H12" s="71">
        <f>G12+M12</f>
        <v>5.7</v>
      </c>
      <c r="I12" s="72">
        <f>IF(E12&gt;0,H12/E12,0)</f>
        <v>0.6785714285714286</v>
      </c>
      <c r="J12" s="72">
        <f>IF(F12&gt;0,H12/F12,0)</f>
        <v>0.8636363636363638</v>
      </c>
      <c r="K12" s="73"/>
      <c r="L12" s="72">
        <f t="shared" si="1"/>
        <v>0</v>
      </c>
      <c r="M12" s="74">
        <v>0.5</v>
      </c>
      <c r="N12" s="73"/>
      <c r="O12" s="72">
        <f t="shared" si="2"/>
        <v>0</v>
      </c>
      <c r="P12" s="74"/>
      <c r="Q12" s="74"/>
      <c r="R12" s="74"/>
    </row>
    <row r="13" spans="1:18" ht="18.75" customHeight="1">
      <c r="A13" s="12" t="s">
        <v>65</v>
      </c>
      <c r="B13" s="12">
        <v>1030225001</v>
      </c>
      <c r="C13" s="74">
        <v>648.9</v>
      </c>
      <c r="D13" s="74"/>
      <c r="E13" s="69">
        <f>C13+D13</f>
        <v>648.9</v>
      </c>
      <c r="F13" s="69">
        <f>162.3+162.3+165</f>
        <v>489.6</v>
      </c>
      <c r="G13" s="74">
        <v>395.6</v>
      </c>
      <c r="H13" s="71">
        <f>G13+M13</f>
        <v>451.5</v>
      </c>
      <c r="I13" s="72">
        <f>IF(E13&gt;0,H13/E13,0)</f>
        <v>0.6957928802588997</v>
      </c>
      <c r="J13" s="72">
        <f>IF(F13&gt;0,H13/F13,0)</f>
        <v>0.9221813725490196</v>
      </c>
      <c r="K13" s="73"/>
      <c r="L13" s="72">
        <f t="shared" si="1"/>
        <v>0</v>
      </c>
      <c r="M13" s="74">
        <v>55.9</v>
      </c>
      <c r="N13" s="73"/>
      <c r="O13" s="72">
        <f t="shared" si="2"/>
        <v>0</v>
      </c>
      <c r="P13" s="74"/>
      <c r="Q13" s="74"/>
      <c r="R13" s="74"/>
    </row>
    <row r="14" spans="1:18" ht="18" customHeight="1">
      <c r="A14" s="12" t="s">
        <v>66</v>
      </c>
      <c r="B14" s="12">
        <v>1030226001</v>
      </c>
      <c r="C14" s="74">
        <v>33.6</v>
      </c>
      <c r="D14" s="74"/>
      <c r="E14" s="69">
        <f>C14+D14</f>
        <v>33.6</v>
      </c>
      <c r="F14" s="69">
        <f>8.4+9.4+15</f>
        <v>32.8</v>
      </c>
      <c r="G14" s="74">
        <v>-2.1</v>
      </c>
      <c r="H14" s="71">
        <f>G14+M14</f>
        <v>-8</v>
      </c>
      <c r="I14" s="72">
        <f>IF(E14&gt;0,H14/E14,0)</f>
        <v>-0.23809523809523808</v>
      </c>
      <c r="J14" s="72">
        <f>IF(F14&gt;0,H14/F14,0)</f>
        <v>-0.24390243902439027</v>
      </c>
      <c r="K14" s="73"/>
      <c r="L14" s="72">
        <f t="shared" si="1"/>
        <v>0</v>
      </c>
      <c r="M14" s="74">
        <v>-5.9</v>
      </c>
      <c r="N14" s="73"/>
      <c r="O14" s="72">
        <f t="shared" si="2"/>
        <v>0</v>
      </c>
      <c r="P14" s="74"/>
      <c r="Q14" s="74"/>
      <c r="R14" s="74"/>
    </row>
    <row r="15" spans="1:18" ht="18">
      <c r="A15" s="9" t="s">
        <v>84</v>
      </c>
      <c r="B15" s="30">
        <v>1050000000</v>
      </c>
      <c r="C15" s="75">
        <f aca="true" t="shared" si="7" ref="C15:H15">C16</f>
        <v>0</v>
      </c>
      <c r="D15" s="76">
        <f t="shared" si="7"/>
        <v>0</v>
      </c>
      <c r="E15" s="76">
        <f t="shared" si="7"/>
        <v>0</v>
      </c>
      <c r="F15" s="76">
        <f t="shared" si="7"/>
        <v>0</v>
      </c>
      <c r="G15" s="75">
        <f>G16</f>
        <v>0</v>
      </c>
      <c r="H15" s="76">
        <f t="shared" si="7"/>
        <v>0</v>
      </c>
      <c r="I15" s="68">
        <f t="shared" si="4"/>
        <v>0</v>
      </c>
      <c r="J15" s="68">
        <f t="shared" si="5"/>
        <v>0</v>
      </c>
      <c r="K15" s="76">
        <f>K16</f>
        <v>-2.4</v>
      </c>
      <c r="L15" s="68">
        <f t="shared" si="1"/>
        <v>0</v>
      </c>
      <c r="M15" s="75">
        <f>M16</f>
        <v>0</v>
      </c>
      <c r="N15" s="76">
        <f>N16</f>
        <v>0</v>
      </c>
      <c r="O15" s="68">
        <f t="shared" si="2"/>
        <v>0</v>
      </c>
      <c r="P15" s="75">
        <f>P16</f>
        <v>0</v>
      </c>
      <c r="Q15" s="75">
        <f>Q16</f>
        <v>0</v>
      </c>
      <c r="R15" s="75">
        <f>R16</f>
        <v>4.5</v>
      </c>
    </row>
    <row r="16" spans="1:18" ht="18">
      <c r="A16" s="13" t="s">
        <v>9</v>
      </c>
      <c r="B16" s="13">
        <v>1050300001</v>
      </c>
      <c r="C16" s="74"/>
      <c r="D16" s="90"/>
      <c r="E16" s="69">
        <f>C16+D16</f>
        <v>0</v>
      </c>
      <c r="F16" s="69"/>
      <c r="G16" s="74"/>
      <c r="H16" s="71">
        <f>G16+M16</f>
        <v>0</v>
      </c>
      <c r="I16" s="72">
        <f t="shared" si="4"/>
        <v>0</v>
      </c>
      <c r="J16" s="72">
        <f t="shared" si="5"/>
        <v>0</v>
      </c>
      <c r="K16" s="77">
        <v>-2.4</v>
      </c>
      <c r="L16" s="72">
        <f t="shared" si="1"/>
        <v>0</v>
      </c>
      <c r="M16" s="74"/>
      <c r="N16" s="77"/>
      <c r="O16" s="72">
        <f t="shared" si="2"/>
        <v>0</v>
      </c>
      <c r="P16" s="74"/>
      <c r="Q16" s="74"/>
      <c r="R16" s="74">
        <v>4.5</v>
      </c>
    </row>
    <row r="17" spans="1:18" ht="18">
      <c r="A17" s="9" t="s">
        <v>85</v>
      </c>
      <c r="B17" s="30">
        <v>1060000000</v>
      </c>
      <c r="C17" s="75">
        <f aca="true" t="shared" si="8" ref="C17:H17">C18+C21</f>
        <v>2172.8</v>
      </c>
      <c r="D17" s="76">
        <f t="shared" si="8"/>
        <v>0</v>
      </c>
      <c r="E17" s="76">
        <f t="shared" si="8"/>
        <v>2172.8</v>
      </c>
      <c r="F17" s="76">
        <f t="shared" si="8"/>
        <v>699.6</v>
      </c>
      <c r="G17" s="76">
        <f>G18+G21</f>
        <v>1416.5</v>
      </c>
      <c r="H17" s="76">
        <f t="shared" si="8"/>
        <v>1620.9</v>
      </c>
      <c r="I17" s="68">
        <f t="shared" si="4"/>
        <v>0.7459959499263623</v>
      </c>
      <c r="J17" s="68">
        <f t="shared" si="5"/>
        <v>2.3168953687821614</v>
      </c>
      <c r="K17" s="76">
        <f>K18+K21</f>
        <v>1122.3</v>
      </c>
      <c r="L17" s="68">
        <f t="shared" si="1"/>
        <v>1.4442662389735366</v>
      </c>
      <c r="M17" s="76">
        <f>M18+M21</f>
        <v>204.39999999999998</v>
      </c>
      <c r="N17" s="76">
        <f>N18+N21</f>
        <v>228.2</v>
      </c>
      <c r="O17" s="68">
        <f t="shared" si="2"/>
        <v>0.8957055214723926</v>
      </c>
      <c r="P17" s="75">
        <f>P18+P21</f>
        <v>1093.8000000000002</v>
      </c>
      <c r="Q17" s="75">
        <f>Q18+Q21</f>
        <v>655.3000000000001</v>
      </c>
      <c r="R17" s="75">
        <f>R18+R21</f>
        <v>617.0999999999999</v>
      </c>
    </row>
    <row r="18" spans="1:18" ht="18">
      <c r="A18" s="13" t="s">
        <v>15</v>
      </c>
      <c r="B18" s="13">
        <v>1060600000</v>
      </c>
      <c r="C18" s="70">
        <f aca="true" t="shared" si="9" ref="C18:H18">C19+C20</f>
        <v>1229.8</v>
      </c>
      <c r="D18" s="70">
        <f t="shared" si="9"/>
        <v>0</v>
      </c>
      <c r="E18" s="70">
        <f t="shared" si="9"/>
        <v>1229.8</v>
      </c>
      <c r="F18" s="70">
        <f t="shared" si="9"/>
        <v>633.1</v>
      </c>
      <c r="G18" s="78">
        <f>G19+G20</f>
        <v>957.6999999999999</v>
      </c>
      <c r="H18" s="70">
        <f t="shared" si="9"/>
        <v>1020</v>
      </c>
      <c r="I18" s="72">
        <f t="shared" si="4"/>
        <v>0.8294031549845504</v>
      </c>
      <c r="J18" s="72">
        <f t="shared" si="5"/>
        <v>1.6111198862738902</v>
      </c>
      <c r="K18" s="78">
        <f>K19+K20</f>
        <v>838.6</v>
      </c>
      <c r="L18" s="72">
        <f t="shared" si="1"/>
        <v>1.216312902456475</v>
      </c>
      <c r="M18" s="78">
        <f>M19+M20</f>
        <v>62.3</v>
      </c>
      <c r="N18" s="78">
        <f>N19+N20</f>
        <v>69.5</v>
      </c>
      <c r="O18" s="72">
        <f t="shared" si="2"/>
        <v>0.8964028776978417</v>
      </c>
      <c r="P18" s="74">
        <f>P19+P20</f>
        <v>797.4000000000001</v>
      </c>
      <c r="Q18" s="74">
        <f>Q19+Q20</f>
        <v>503.70000000000005</v>
      </c>
      <c r="R18" s="74">
        <f>R19+R20</f>
        <v>467.9</v>
      </c>
    </row>
    <row r="19" spans="1:18" ht="18">
      <c r="A19" s="13" t="s">
        <v>16</v>
      </c>
      <c r="B19" s="13">
        <v>1060601310</v>
      </c>
      <c r="C19" s="74">
        <v>274.5</v>
      </c>
      <c r="D19" s="70"/>
      <c r="E19" s="69">
        <f>C19+D19</f>
        <v>274.5</v>
      </c>
      <c r="F19" s="69">
        <f>81+15+45</f>
        <v>141</v>
      </c>
      <c r="G19" s="74">
        <v>114.4</v>
      </c>
      <c r="H19" s="71">
        <f>G19+M19</f>
        <v>143.70000000000002</v>
      </c>
      <c r="I19" s="72">
        <f t="shared" si="4"/>
        <v>0.523497267759563</v>
      </c>
      <c r="J19" s="72">
        <f t="shared" si="5"/>
        <v>1.0191489361702128</v>
      </c>
      <c r="K19" s="73">
        <v>177.4</v>
      </c>
      <c r="L19" s="72">
        <f t="shared" si="1"/>
        <v>0.810033821871477</v>
      </c>
      <c r="M19" s="74">
        <v>29.3</v>
      </c>
      <c r="N19" s="73">
        <v>24.3</v>
      </c>
      <c r="O19" s="72">
        <f t="shared" si="2"/>
        <v>1.205761316872428</v>
      </c>
      <c r="P19" s="74">
        <v>91.7</v>
      </c>
      <c r="Q19" s="74">
        <v>80.4</v>
      </c>
      <c r="R19" s="74">
        <v>80.2</v>
      </c>
    </row>
    <row r="20" spans="1:18" ht="18">
      <c r="A20" s="13" t="s">
        <v>16</v>
      </c>
      <c r="B20" s="13">
        <v>1060602310</v>
      </c>
      <c r="C20" s="74">
        <v>955.3</v>
      </c>
      <c r="D20" s="70"/>
      <c r="E20" s="69">
        <f>C20+D20</f>
        <v>955.3</v>
      </c>
      <c r="F20" s="69">
        <f>340+113.1+39</f>
        <v>492.1</v>
      </c>
      <c r="G20" s="74">
        <v>843.3</v>
      </c>
      <c r="H20" s="71">
        <f>G20+M20</f>
        <v>876.3</v>
      </c>
      <c r="I20" s="72">
        <f t="shared" si="4"/>
        <v>0.9173034648801424</v>
      </c>
      <c r="J20" s="72">
        <f t="shared" si="5"/>
        <v>1.780735622840886</v>
      </c>
      <c r="K20" s="73">
        <v>661.2</v>
      </c>
      <c r="L20" s="72">
        <f t="shared" si="1"/>
        <v>1.3253176043557167</v>
      </c>
      <c r="M20" s="74">
        <v>33</v>
      </c>
      <c r="N20" s="73">
        <v>45.2</v>
      </c>
      <c r="O20" s="72">
        <f t="shared" si="2"/>
        <v>0.7300884955752212</v>
      </c>
      <c r="P20" s="74">
        <v>705.7</v>
      </c>
      <c r="Q20" s="74">
        <v>423.3</v>
      </c>
      <c r="R20" s="74">
        <v>387.7</v>
      </c>
    </row>
    <row r="21" spans="1:18" ht="18">
      <c r="A21" s="13" t="s">
        <v>14</v>
      </c>
      <c r="B21" s="13">
        <v>1060103010</v>
      </c>
      <c r="C21" s="74">
        <v>943</v>
      </c>
      <c r="D21" s="70"/>
      <c r="E21" s="69">
        <f>C21+D21</f>
        <v>943</v>
      </c>
      <c r="F21" s="69">
        <f>29+19.5+18</f>
        <v>66.5</v>
      </c>
      <c r="G21" s="74">
        <v>458.8</v>
      </c>
      <c r="H21" s="71">
        <f>G21+M21</f>
        <v>600.9</v>
      </c>
      <c r="I21" s="72">
        <f t="shared" si="4"/>
        <v>0.6372216330858961</v>
      </c>
      <c r="J21" s="72">
        <f t="shared" si="5"/>
        <v>9.036090225563909</v>
      </c>
      <c r="K21" s="73">
        <v>283.7</v>
      </c>
      <c r="L21" s="72">
        <f t="shared" si="1"/>
        <v>2.1180824814945365</v>
      </c>
      <c r="M21" s="74">
        <v>142.1</v>
      </c>
      <c r="N21" s="73">
        <v>158.7</v>
      </c>
      <c r="O21" s="72">
        <f t="shared" si="2"/>
        <v>0.8954001260239446</v>
      </c>
      <c r="P21" s="74">
        <v>296.4</v>
      </c>
      <c r="Q21" s="74">
        <v>151.6</v>
      </c>
      <c r="R21" s="74">
        <v>149.2</v>
      </c>
    </row>
    <row r="22" spans="1:18" ht="18">
      <c r="A22" s="9" t="s">
        <v>87</v>
      </c>
      <c r="B22" s="30">
        <v>1090405010</v>
      </c>
      <c r="C22" s="75">
        <v>4.1</v>
      </c>
      <c r="D22" s="76"/>
      <c r="E22" s="67">
        <f>C22+D22</f>
        <v>4.1</v>
      </c>
      <c r="F22" s="67"/>
      <c r="G22" s="75"/>
      <c r="H22" s="79">
        <f>G22+M22</f>
        <v>0</v>
      </c>
      <c r="I22" s="68">
        <f t="shared" si="4"/>
        <v>0</v>
      </c>
      <c r="J22" s="68">
        <f t="shared" si="5"/>
        <v>0</v>
      </c>
      <c r="K22" s="80">
        <v>4.1</v>
      </c>
      <c r="L22" s="68">
        <f t="shared" si="1"/>
        <v>0</v>
      </c>
      <c r="M22" s="75"/>
      <c r="N22" s="80"/>
      <c r="O22" s="68">
        <f aca="true" t="shared" si="10" ref="O22:O31">IF(N22&gt;0,M22/N22,0)</f>
        <v>0</v>
      </c>
      <c r="P22" s="75"/>
      <c r="Q22" s="75"/>
      <c r="R22" s="75"/>
    </row>
    <row r="23" spans="1:18" ht="18">
      <c r="A23" s="14" t="s">
        <v>27</v>
      </c>
      <c r="B23" s="32"/>
      <c r="C23" s="81">
        <f aca="true" t="shared" si="11" ref="C23:H23">C24+C28+C30+C32+C31+C29</f>
        <v>1746.4250000000002</v>
      </c>
      <c r="D23" s="81">
        <f t="shared" si="11"/>
        <v>545.1270000000001</v>
      </c>
      <c r="E23" s="81">
        <f t="shared" si="11"/>
        <v>2291.5519999999997</v>
      </c>
      <c r="F23" s="81">
        <f t="shared" si="11"/>
        <v>1644.6</v>
      </c>
      <c r="G23" s="81">
        <f>G24+G28+G30+G32+G31+G29</f>
        <v>1222.8</v>
      </c>
      <c r="H23" s="81">
        <f t="shared" si="11"/>
        <v>1325.6</v>
      </c>
      <c r="I23" s="66">
        <f t="shared" si="4"/>
        <v>0.5784725810280544</v>
      </c>
      <c r="J23" s="66">
        <f t="shared" si="5"/>
        <v>0.806031861850906</v>
      </c>
      <c r="K23" s="81">
        <f>K24+K28+K30+K32+K31+K29</f>
        <v>2440.5</v>
      </c>
      <c r="L23" s="66">
        <f t="shared" si="1"/>
        <v>0.5431673837328416</v>
      </c>
      <c r="M23" s="81">
        <f>M24+M28+M30+M32+M31+M29</f>
        <v>102.8</v>
      </c>
      <c r="N23" s="81">
        <f>N24+N28+N30+N32+N31+N29</f>
        <v>192</v>
      </c>
      <c r="O23" s="66">
        <f t="shared" si="10"/>
        <v>0.5354166666666667</v>
      </c>
      <c r="P23" s="81">
        <f>P24+P28+P30+P32+P31+P29</f>
        <v>157.7</v>
      </c>
      <c r="Q23" s="81">
        <f>Q24+Q28+Q30+Q32+Q31+Q29</f>
        <v>31.1</v>
      </c>
      <c r="R23" s="81">
        <f>R24+R28+R30+R32+R31+R29</f>
        <v>31.1</v>
      </c>
    </row>
    <row r="24" spans="1:18" ht="18">
      <c r="A24" s="9" t="s">
        <v>88</v>
      </c>
      <c r="B24" s="30">
        <v>1110000000</v>
      </c>
      <c r="C24" s="75">
        <f aca="true" t="shared" si="12" ref="C24:H24">C25+C26+C27</f>
        <v>1596.4250000000002</v>
      </c>
      <c r="D24" s="75">
        <f t="shared" si="12"/>
        <v>-9.304</v>
      </c>
      <c r="E24" s="75">
        <f t="shared" si="12"/>
        <v>1587.1209999999999</v>
      </c>
      <c r="F24" s="75">
        <f t="shared" si="12"/>
        <v>1077.5</v>
      </c>
      <c r="G24" s="75">
        <f>G25+G26+G27</f>
        <v>809.1999999999999</v>
      </c>
      <c r="H24" s="75">
        <f t="shared" si="12"/>
        <v>900.6999999999999</v>
      </c>
      <c r="I24" s="68">
        <f t="shared" si="4"/>
        <v>0.5675055651081423</v>
      </c>
      <c r="J24" s="68">
        <f t="shared" si="5"/>
        <v>0.8359164733178653</v>
      </c>
      <c r="K24" s="75">
        <f>K25+K26+K27</f>
        <v>1378.7</v>
      </c>
      <c r="L24" s="68">
        <f t="shared" si="1"/>
        <v>0.6532965837383041</v>
      </c>
      <c r="M24" s="75">
        <f>M25+M26+M27</f>
        <v>91.5</v>
      </c>
      <c r="N24" s="75">
        <f>N25+N26+N27</f>
        <v>61.7</v>
      </c>
      <c r="O24" s="68">
        <f t="shared" si="10"/>
        <v>1.4829821717990275</v>
      </c>
      <c r="P24" s="75">
        <f>P25+P26+P27</f>
        <v>157.7</v>
      </c>
      <c r="Q24" s="75">
        <f>Q25+Q26+Q27</f>
        <v>31.1</v>
      </c>
      <c r="R24" s="75">
        <f>R25+R26+R27</f>
        <v>31.1</v>
      </c>
    </row>
    <row r="25" spans="1:18" ht="18">
      <c r="A25" s="54" t="s">
        <v>31</v>
      </c>
      <c r="B25" s="13">
        <v>1110501013</v>
      </c>
      <c r="C25" s="74">
        <v>1236.2</v>
      </c>
      <c r="D25" s="70">
        <v>-1.124</v>
      </c>
      <c r="E25" s="69">
        <f aca="true" t="shared" si="13" ref="E25:E31">C25+D25</f>
        <v>1235.076</v>
      </c>
      <c r="F25" s="69">
        <f>44+502+300</f>
        <v>846</v>
      </c>
      <c r="G25" s="74">
        <v>584.9</v>
      </c>
      <c r="H25" s="71">
        <f aca="true" t="shared" si="14" ref="H25:H31">G25+M25</f>
        <v>641.9</v>
      </c>
      <c r="I25" s="72">
        <f t="shared" si="4"/>
        <v>0.5197251019370468</v>
      </c>
      <c r="J25" s="72">
        <f t="shared" si="5"/>
        <v>0.7587470449172576</v>
      </c>
      <c r="K25" s="70">
        <v>1039.1</v>
      </c>
      <c r="L25" s="72">
        <f t="shared" si="1"/>
        <v>0.6177461264555866</v>
      </c>
      <c r="M25" s="74">
        <v>57</v>
      </c>
      <c r="N25" s="70">
        <v>29.5</v>
      </c>
      <c r="O25" s="72">
        <f t="shared" si="10"/>
        <v>1.9322033898305084</v>
      </c>
      <c r="P25" s="74">
        <v>157.7</v>
      </c>
      <c r="Q25" s="74">
        <v>31.1</v>
      </c>
      <c r="R25" s="74">
        <v>31.1</v>
      </c>
    </row>
    <row r="26" spans="1:18" ht="18">
      <c r="A26" s="13" t="s">
        <v>28</v>
      </c>
      <c r="B26" s="13">
        <v>1110904510</v>
      </c>
      <c r="C26" s="74">
        <v>351.225</v>
      </c>
      <c r="D26" s="70"/>
      <c r="E26" s="69">
        <f t="shared" si="13"/>
        <v>351.225</v>
      </c>
      <c r="F26" s="69">
        <f>90+67.5+74</f>
        <v>231.5</v>
      </c>
      <c r="G26" s="74">
        <v>223.5</v>
      </c>
      <c r="H26" s="71">
        <f t="shared" si="14"/>
        <v>258</v>
      </c>
      <c r="I26" s="72">
        <f t="shared" si="4"/>
        <v>0.7345718556480888</v>
      </c>
      <c r="J26" s="72">
        <f t="shared" si="5"/>
        <v>1.1144708423326133</v>
      </c>
      <c r="K26" s="82">
        <v>326.4</v>
      </c>
      <c r="L26" s="72">
        <f t="shared" si="1"/>
        <v>0.7904411764705883</v>
      </c>
      <c r="M26" s="74">
        <v>34.5</v>
      </c>
      <c r="N26" s="82">
        <v>32.2</v>
      </c>
      <c r="O26" s="72">
        <f t="shared" si="10"/>
        <v>1.0714285714285714</v>
      </c>
      <c r="P26" s="74"/>
      <c r="Q26" s="74"/>
      <c r="R26" s="74"/>
    </row>
    <row r="27" spans="1:18" ht="18">
      <c r="A27" s="31" t="s">
        <v>21</v>
      </c>
      <c r="B27" s="13">
        <v>1110903510</v>
      </c>
      <c r="C27" s="74">
        <v>9</v>
      </c>
      <c r="D27" s="74">
        <f>-8.18</f>
        <v>-8.18</v>
      </c>
      <c r="E27" s="69">
        <f t="shared" si="13"/>
        <v>0.8200000000000003</v>
      </c>
      <c r="F27" s="69"/>
      <c r="G27" s="74">
        <v>0.8</v>
      </c>
      <c r="H27" s="71">
        <f t="shared" si="14"/>
        <v>0.8</v>
      </c>
      <c r="I27" s="72">
        <f t="shared" si="4"/>
        <v>0.9756097560975607</v>
      </c>
      <c r="J27" s="72">
        <f t="shared" si="5"/>
        <v>0</v>
      </c>
      <c r="K27" s="83">
        <v>13.2</v>
      </c>
      <c r="L27" s="72">
        <f t="shared" si="1"/>
        <v>0.060606060606060615</v>
      </c>
      <c r="M27" s="74"/>
      <c r="N27" s="83"/>
      <c r="O27" s="72">
        <f t="shared" si="10"/>
        <v>0</v>
      </c>
      <c r="P27" s="74"/>
      <c r="Q27" s="74"/>
      <c r="R27" s="74"/>
    </row>
    <row r="28" spans="1:18" ht="18">
      <c r="A28" s="9" t="s">
        <v>46</v>
      </c>
      <c r="B28" s="30">
        <v>1130299510</v>
      </c>
      <c r="C28" s="75"/>
      <c r="D28" s="75">
        <v>12</v>
      </c>
      <c r="E28" s="67">
        <f t="shared" si="13"/>
        <v>12</v>
      </c>
      <c r="F28" s="67"/>
      <c r="G28" s="75">
        <v>10.6</v>
      </c>
      <c r="H28" s="79">
        <f t="shared" si="14"/>
        <v>17.8</v>
      </c>
      <c r="I28" s="68">
        <f t="shared" si="4"/>
        <v>1.4833333333333334</v>
      </c>
      <c r="J28" s="68">
        <f t="shared" si="5"/>
        <v>0</v>
      </c>
      <c r="K28" s="84">
        <v>12.9</v>
      </c>
      <c r="L28" s="68">
        <f t="shared" si="1"/>
        <v>1.37984496124031</v>
      </c>
      <c r="M28" s="75">
        <v>7.2</v>
      </c>
      <c r="N28" s="84">
        <v>8.4</v>
      </c>
      <c r="O28" s="68">
        <f t="shared" si="10"/>
        <v>0.8571428571428571</v>
      </c>
      <c r="P28" s="75"/>
      <c r="Q28" s="75"/>
      <c r="R28" s="75"/>
    </row>
    <row r="29" spans="1:18" ht="18">
      <c r="A29" s="9" t="s">
        <v>89</v>
      </c>
      <c r="B29" s="30">
        <v>1140205310</v>
      </c>
      <c r="C29" s="91">
        <v>120</v>
      </c>
      <c r="D29" s="75">
        <f>460.16-137.729</f>
        <v>322.43100000000004</v>
      </c>
      <c r="E29" s="67">
        <f t="shared" si="13"/>
        <v>442.43100000000004</v>
      </c>
      <c r="F29" s="67">
        <f>20+45.9+460.2</f>
        <v>526.1</v>
      </c>
      <c r="G29" s="75">
        <v>149</v>
      </c>
      <c r="H29" s="79">
        <f t="shared" si="14"/>
        <v>149</v>
      </c>
      <c r="I29" s="68">
        <f>IF(E29&gt;0,H29/E29,0)</f>
        <v>0.3367756780153289</v>
      </c>
      <c r="J29" s="68">
        <f>IF(F29&gt;0,H29/F29,0)</f>
        <v>0.28321611860862955</v>
      </c>
      <c r="K29" s="84">
        <v>634.2</v>
      </c>
      <c r="L29" s="68">
        <f>IF(K29&gt;0,H29/K29,0)</f>
        <v>0.23494165878271836</v>
      </c>
      <c r="M29" s="75"/>
      <c r="N29" s="84">
        <v>66.2</v>
      </c>
      <c r="O29" s="68">
        <f t="shared" si="10"/>
        <v>0</v>
      </c>
      <c r="P29" s="75"/>
      <c r="Q29" s="75"/>
      <c r="R29" s="75"/>
    </row>
    <row r="30" spans="1:18" ht="18">
      <c r="A30" s="9" t="s">
        <v>90</v>
      </c>
      <c r="B30" s="30">
        <v>1140601410</v>
      </c>
      <c r="C30" s="91"/>
      <c r="D30" s="75">
        <v>20</v>
      </c>
      <c r="E30" s="79">
        <f t="shared" si="13"/>
        <v>20</v>
      </c>
      <c r="F30" s="79">
        <f>20</f>
        <v>20</v>
      </c>
      <c r="G30" s="75">
        <v>29.7</v>
      </c>
      <c r="H30" s="79">
        <f t="shared" si="14"/>
        <v>29.7</v>
      </c>
      <c r="I30" s="68">
        <f t="shared" si="4"/>
        <v>1.4849999999999999</v>
      </c>
      <c r="J30" s="68">
        <f t="shared" si="5"/>
        <v>1.4849999999999999</v>
      </c>
      <c r="K30" s="84">
        <v>376.6</v>
      </c>
      <c r="L30" s="68">
        <f t="shared" si="1"/>
        <v>0.07886351566648964</v>
      </c>
      <c r="M30" s="75"/>
      <c r="N30" s="84">
        <v>42.2</v>
      </c>
      <c r="O30" s="68">
        <f t="shared" si="10"/>
        <v>0</v>
      </c>
      <c r="P30" s="75"/>
      <c r="Q30" s="75"/>
      <c r="R30" s="75"/>
    </row>
    <row r="31" spans="1:18" ht="18">
      <c r="A31" s="9" t="s">
        <v>91</v>
      </c>
      <c r="B31" s="55">
        <v>1169005010</v>
      </c>
      <c r="C31" s="75">
        <v>30</v>
      </c>
      <c r="D31" s="75">
        <f>200</f>
        <v>200</v>
      </c>
      <c r="E31" s="79">
        <f t="shared" si="13"/>
        <v>230</v>
      </c>
      <c r="F31" s="79">
        <f>9+12</f>
        <v>21</v>
      </c>
      <c r="G31" s="75">
        <v>224.3</v>
      </c>
      <c r="H31" s="79">
        <f t="shared" si="14"/>
        <v>228.4</v>
      </c>
      <c r="I31" s="68">
        <f t="shared" si="4"/>
        <v>0.9930434782608696</v>
      </c>
      <c r="J31" s="68">
        <f t="shared" si="5"/>
        <v>10.876190476190477</v>
      </c>
      <c r="K31" s="84">
        <v>38.1</v>
      </c>
      <c r="L31" s="68">
        <f t="shared" si="1"/>
        <v>5.994750656167979</v>
      </c>
      <c r="M31" s="75">
        <v>4.1</v>
      </c>
      <c r="N31" s="84">
        <v>13.5</v>
      </c>
      <c r="O31" s="68">
        <f t="shared" si="10"/>
        <v>0.3037037037037037</v>
      </c>
      <c r="P31" s="75"/>
      <c r="Q31" s="75"/>
      <c r="R31" s="75"/>
    </row>
    <row r="32" spans="1:18" ht="18">
      <c r="A32" s="9" t="s">
        <v>83</v>
      </c>
      <c r="B32" s="30">
        <v>1170000000</v>
      </c>
      <c r="C32" s="75">
        <f>SUM(C33:C34)</f>
        <v>0</v>
      </c>
      <c r="D32" s="75">
        <f aca="true" t="shared" si="15" ref="D32:R32">SUM(D33:D34)</f>
        <v>0</v>
      </c>
      <c r="E32" s="75">
        <f t="shared" si="15"/>
        <v>0</v>
      </c>
      <c r="F32" s="75">
        <f t="shared" si="15"/>
        <v>0</v>
      </c>
      <c r="G32" s="75"/>
      <c r="H32" s="75">
        <f t="shared" si="15"/>
        <v>0</v>
      </c>
      <c r="I32" s="68">
        <f t="shared" si="4"/>
        <v>0</v>
      </c>
      <c r="J32" s="68">
        <f t="shared" si="5"/>
        <v>0</v>
      </c>
      <c r="K32" s="75">
        <f>SUM(K33:K34)</f>
        <v>0</v>
      </c>
      <c r="L32" s="68">
        <f t="shared" si="1"/>
        <v>0</v>
      </c>
      <c r="M32" s="75"/>
      <c r="N32" s="75">
        <f>SUM(N33:N34)</f>
        <v>0</v>
      </c>
      <c r="O32" s="75">
        <f t="shared" si="15"/>
        <v>0</v>
      </c>
      <c r="P32" s="75">
        <f t="shared" si="15"/>
        <v>0</v>
      </c>
      <c r="Q32" s="75">
        <f>SUM(Q33:Q34)</f>
        <v>0</v>
      </c>
      <c r="R32" s="75">
        <f t="shared" si="15"/>
        <v>0</v>
      </c>
    </row>
    <row r="33" spans="1:18" ht="18">
      <c r="A33" s="13" t="s">
        <v>10</v>
      </c>
      <c r="B33" s="13">
        <v>1170103003</v>
      </c>
      <c r="C33" s="74"/>
      <c r="D33" s="74"/>
      <c r="E33" s="69">
        <f>C33+D33</f>
        <v>0</v>
      </c>
      <c r="F33" s="69"/>
      <c r="G33" s="74"/>
      <c r="H33" s="70">
        <f>G33+M33</f>
        <v>0</v>
      </c>
      <c r="I33" s="72">
        <f t="shared" si="4"/>
        <v>0</v>
      </c>
      <c r="J33" s="72">
        <f t="shared" si="5"/>
        <v>0</v>
      </c>
      <c r="K33" s="83"/>
      <c r="L33" s="72">
        <f t="shared" si="1"/>
        <v>0</v>
      </c>
      <c r="M33" s="74"/>
      <c r="N33" s="83"/>
      <c r="O33" s="72">
        <f aca="true" t="shared" si="16" ref="O33:O39">IF(N33&gt;0,M33/N33,0)</f>
        <v>0</v>
      </c>
      <c r="P33" s="85"/>
      <c r="Q33" s="85"/>
      <c r="R33" s="85"/>
    </row>
    <row r="34" spans="1:18" ht="18">
      <c r="A34" s="13" t="s">
        <v>41</v>
      </c>
      <c r="B34" s="13">
        <v>1170505010</v>
      </c>
      <c r="C34" s="74"/>
      <c r="D34" s="70"/>
      <c r="E34" s="69">
        <f>C34+D34</f>
        <v>0</v>
      </c>
      <c r="F34" s="69"/>
      <c r="G34" s="74"/>
      <c r="H34" s="71">
        <f>G34+M34</f>
        <v>0</v>
      </c>
      <c r="I34" s="72">
        <f>IF(E34&gt;0,H34/E34,0)</f>
        <v>0</v>
      </c>
      <c r="J34" s="72">
        <f>IF(F34&gt;0,H34/F34,0)</f>
        <v>0</v>
      </c>
      <c r="K34" s="74"/>
      <c r="L34" s="72">
        <f>IF(K34&gt;0,H34/K34,0)</f>
        <v>0</v>
      </c>
      <c r="M34" s="74"/>
      <c r="N34" s="83"/>
      <c r="O34" s="72">
        <f t="shared" si="16"/>
        <v>0</v>
      </c>
      <c r="P34" s="74"/>
      <c r="Q34" s="74"/>
      <c r="R34" s="74"/>
    </row>
    <row r="35" spans="1:18" ht="18">
      <c r="A35" s="9" t="s">
        <v>8</v>
      </c>
      <c r="B35" s="9">
        <v>1000000000</v>
      </c>
      <c r="C35" s="86">
        <f aca="true" t="shared" si="17" ref="C35:H35">C5+C23</f>
        <v>9373.725000000002</v>
      </c>
      <c r="D35" s="87">
        <f t="shared" si="17"/>
        <v>545.1270000000001</v>
      </c>
      <c r="E35" s="86">
        <f t="shared" si="17"/>
        <v>9918.852</v>
      </c>
      <c r="F35" s="87">
        <f t="shared" si="17"/>
        <v>6256.6</v>
      </c>
      <c r="G35" s="87">
        <f>G5+G23</f>
        <v>5900.5</v>
      </c>
      <c r="H35" s="87">
        <f t="shared" si="17"/>
        <v>6636.9</v>
      </c>
      <c r="I35" s="88">
        <f t="shared" si="4"/>
        <v>0.6691197731350361</v>
      </c>
      <c r="J35" s="88">
        <f t="shared" si="5"/>
        <v>1.0607838122942173</v>
      </c>
      <c r="K35" s="87">
        <f>K5+K23</f>
        <v>6589.1</v>
      </c>
      <c r="L35" s="88">
        <f t="shared" si="1"/>
        <v>1.0072544050022005</v>
      </c>
      <c r="M35" s="87">
        <f>M5+M23</f>
        <v>736.4</v>
      </c>
      <c r="N35" s="87">
        <f>N5+N23</f>
        <v>742.0999999999999</v>
      </c>
      <c r="O35" s="88">
        <f t="shared" si="16"/>
        <v>0.9923190944616629</v>
      </c>
      <c r="P35" s="87">
        <f>P5+P23</f>
        <v>1252.1000000000001</v>
      </c>
      <c r="Q35" s="87">
        <f>Q5+Q23</f>
        <v>687.1000000000001</v>
      </c>
      <c r="R35" s="135">
        <f>R5+R23</f>
        <v>653.4999999999999</v>
      </c>
    </row>
    <row r="36" spans="1:18" ht="18">
      <c r="A36" s="9" t="s">
        <v>111</v>
      </c>
      <c r="B36" s="9"/>
      <c r="C36" s="86">
        <f aca="true" t="shared" si="18" ref="C36:H36">C35-C10</f>
        <v>8174.225000000002</v>
      </c>
      <c r="D36" s="86">
        <f t="shared" si="18"/>
        <v>545.1270000000001</v>
      </c>
      <c r="E36" s="86">
        <f t="shared" si="18"/>
        <v>8719.352</v>
      </c>
      <c r="F36" s="87">
        <f t="shared" si="18"/>
        <v>5353.200000000001</v>
      </c>
      <c r="G36" s="87">
        <f t="shared" si="18"/>
        <v>5251.6</v>
      </c>
      <c r="H36" s="87">
        <f t="shared" si="18"/>
        <v>5912.599999999999</v>
      </c>
      <c r="I36" s="88">
        <f>IF(E36&gt;0,H36/E36,0)</f>
        <v>0.6781008496961699</v>
      </c>
      <c r="J36" s="88">
        <f>IF(F36&gt;0,H36/F36,0)</f>
        <v>1.1044982440409472</v>
      </c>
      <c r="K36" s="87">
        <f>K35-K10</f>
        <v>6589.1</v>
      </c>
      <c r="L36" s="88">
        <f t="shared" si="1"/>
        <v>0.8973304396655081</v>
      </c>
      <c r="M36" s="87">
        <f>M35-M10</f>
        <v>661</v>
      </c>
      <c r="N36" s="87">
        <f>N35-N10</f>
        <v>742.0999999999999</v>
      </c>
      <c r="O36" s="88"/>
      <c r="P36" s="87"/>
      <c r="Q36" s="87"/>
      <c r="R36" s="135"/>
    </row>
    <row r="37" spans="1:18" ht="18">
      <c r="A37" s="13" t="s">
        <v>44</v>
      </c>
      <c r="B37" s="13">
        <v>2000000000</v>
      </c>
      <c r="C37" s="92">
        <v>15182.275</v>
      </c>
      <c r="D37" s="92">
        <f>1080.966-12523.876-650+4-0.7</f>
        <v>-12089.61</v>
      </c>
      <c r="E37" s="89">
        <f>C37+D37</f>
        <v>3092.664999999999</v>
      </c>
      <c r="F37" s="69">
        <f>1.4+14.4</f>
        <v>15.8</v>
      </c>
      <c r="G37" s="74">
        <v>120.6</v>
      </c>
      <c r="H37" s="70">
        <f>G37+M37</f>
        <v>562.9</v>
      </c>
      <c r="I37" s="72">
        <f t="shared" si="4"/>
        <v>0.1820113073999286</v>
      </c>
      <c r="J37" s="72">
        <f t="shared" si="5"/>
        <v>35.62658227848101</v>
      </c>
      <c r="K37" s="74">
        <v>9464.5</v>
      </c>
      <c r="L37" s="72">
        <f t="shared" si="1"/>
        <v>0.059474879814041946</v>
      </c>
      <c r="M37" s="74">
        <v>442.3</v>
      </c>
      <c r="N37" s="74">
        <v>3692.9</v>
      </c>
      <c r="O37" s="72">
        <f t="shared" si="16"/>
        <v>0.11977037016978527</v>
      </c>
      <c r="P37" s="74"/>
      <c r="Q37" s="74"/>
      <c r="R37" s="74"/>
    </row>
    <row r="38" spans="1:18" ht="18">
      <c r="A38" s="13" t="s">
        <v>55</v>
      </c>
      <c r="B38" s="34" t="s">
        <v>45</v>
      </c>
      <c r="C38" s="74"/>
      <c r="D38" s="70">
        <f>426</f>
        <v>426</v>
      </c>
      <c r="E38" s="69">
        <f>C38+D38</f>
        <v>426</v>
      </c>
      <c r="F38" s="69"/>
      <c r="G38" s="74">
        <v>435.9</v>
      </c>
      <c r="H38" s="70">
        <f>G38+M38</f>
        <v>435.9</v>
      </c>
      <c r="I38" s="72">
        <f>IF(E38&gt;0,H38/E38,0)</f>
        <v>1.0232394366197182</v>
      </c>
      <c r="J38" s="72">
        <f>IF(F38&gt;0,H38/F38,0)</f>
        <v>0</v>
      </c>
      <c r="K38" s="74">
        <v>649.1</v>
      </c>
      <c r="L38" s="72">
        <f t="shared" si="1"/>
        <v>0.671545216453551</v>
      </c>
      <c r="M38" s="74"/>
      <c r="N38" s="74"/>
      <c r="O38" s="72">
        <f t="shared" si="16"/>
        <v>0</v>
      </c>
      <c r="P38" s="74"/>
      <c r="Q38" s="74"/>
      <c r="R38" s="74"/>
    </row>
    <row r="39" spans="1:18" ht="18">
      <c r="A39" s="9" t="s">
        <v>2</v>
      </c>
      <c r="B39" s="9">
        <v>0</v>
      </c>
      <c r="C39" s="86">
        <f aca="true" t="shared" si="19" ref="C39:H39">C35+C37+C38</f>
        <v>24556</v>
      </c>
      <c r="D39" s="86">
        <f t="shared" si="19"/>
        <v>-11118.483</v>
      </c>
      <c r="E39" s="86">
        <f t="shared" si="19"/>
        <v>13437.517</v>
      </c>
      <c r="F39" s="87">
        <f t="shared" si="19"/>
        <v>6272.400000000001</v>
      </c>
      <c r="G39" s="87">
        <f t="shared" si="19"/>
        <v>6457</v>
      </c>
      <c r="H39" s="87">
        <f t="shared" si="19"/>
        <v>7635.699999999999</v>
      </c>
      <c r="I39" s="88">
        <f t="shared" si="4"/>
        <v>0.5682374206484724</v>
      </c>
      <c r="J39" s="88">
        <f t="shared" si="5"/>
        <v>1.2173490211083473</v>
      </c>
      <c r="K39" s="87">
        <f>K35+K37+K38</f>
        <v>16702.7</v>
      </c>
      <c r="L39" s="88">
        <f t="shared" si="1"/>
        <v>0.45715363384363</v>
      </c>
      <c r="M39" s="87">
        <f>M35+M37+M38</f>
        <v>1178.7</v>
      </c>
      <c r="N39" s="87">
        <f>N35+N37+N38</f>
        <v>4435</v>
      </c>
      <c r="O39" s="88">
        <f t="shared" si="16"/>
        <v>0.26577226606538895</v>
      </c>
      <c r="P39" s="87">
        <f>P35+P37+P38</f>
        <v>1252.1000000000001</v>
      </c>
      <c r="Q39" s="87">
        <f>Q35+Q37+Q38</f>
        <v>687.1000000000001</v>
      </c>
      <c r="R39" s="87">
        <f>R35+R37+R38</f>
        <v>653.4999999999999</v>
      </c>
    </row>
  </sheetData>
  <sheetProtection/>
  <mergeCells count="15"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2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0.75390625" style="0" customWidth="1"/>
    <col min="5" max="5" width="11.75390625" style="0" customWidth="1"/>
    <col min="6" max="6" width="10.25390625" style="0" customWidth="1"/>
    <col min="7" max="7" width="10.00390625" style="0" customWidth="1"/>
    <col min="8" max="8" width="11.375" style="0" customWidth="1"/>
    <col min="9" max="10" width="10.875" style="0" customWidth="1"/>
    <col min="11" max="11" width="10.625" style="0" customWidth="1"/>
    <col min="12" max="12" width="10.375" style="0" customWidth="1"/>
    <col min="13" max="13" width="10.125" style="0" customWidth="1"/>
    <col min="14" max="14" width="11.125" style="0" customWidth="1"/>
    <col min="15" max="15" width="13.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38" t="s">
        <v>13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49"/>
      <c r="O1" s="49"/>
      <c r="P1" s="26"/>
      <c r="Q1" s="26"/>
      <c r="R1" s="26"/>
    </row>
    <row r="2" spans="1:18" ht="15.75">
      <c r="A2" s="26"/>
      <c r="B2" s="139" t="s">
        <v>122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8" customHeight="1">
      <c r="A3" s="145" t="s">
        <v>4</v>
      </c>
      <c r="B3" s="136" t="s">
        <v>6</v>
      </c>
      <c r="C3" s="140" t="s">
        <v>58</v>
      </c>
      <c r="D3" s="140" t="s">
        <v>29</v>
      </c>
      <c r="E3" s="142" t="s">
        <v>59</v>
      </c>
      <c r="F3" s="136" t="s">
        <v>109</v>
      </c>
      <c r="G3" s="136" t="s">
        <v>110</v>
      </c>
      <c r="H3" s="136" t="s">
        <v>60</v>
      </c>
      <c r="I3" s="136"/>
      <c r="J3" s="136"/>
      <c r="K3" s="136" t="s">
        <v>57</v>
      </c>
      <c r="L3" s="136"/>
      <c r="M3" s="136" t="s">
        <v>115</v>
      </c>
      <c r="N3" s="136" t="s">
        <v>116</v>
      </c>
      <c r="O3" s="141" t="s">
        <v>23</v>
      </c>
      <c r="P3" s="141" t="s">
        <v>11</v>
      </c>
      <c r="Q3" s="141"/>
      <c r="R3" s="141"/>
    </row>
    <row r="4" spans="1:18" ht="98.25" customHeight="1">
      <c r="A4" s="146"/>
      <c r="B4" s="147"/>
      <c r="C4" s="144"/>
      <c r="D4" s="144"/>
      <c r="E4" s="148"/>
      <c r="F4" s="136"/>
      <c r="G4" s="136"/>
      <c r="H4" s="47" t="s">
        <v>114</v>
      </c>
      <c r="I4" s="47" t="s">
        <v>12</v>
      </c>
      <c r="J4" s="47" t="s">
        <v>34</v>
      </c>
      <c r="K4" s="47" t="s">
        <v>114</v>
      </c>
      <c r="L4" s="47" t="s">
        <v>35</v>
      </c>
      <c r="M4" s="136"/>
      <c r="N4" s="136"/>
      <c r="O4" s="141"/>
      <c r="P4" s="133" t="s">
        <v>61</v>
      </c>
      <c r="Q4" s="134" t="s">
        <v>112</v>
      </c>
      <c r="R4" s="134" t="s">
        <v>120</v>
      </c>
    </row>
    <row r="5" spans="1:18" ht="21" customHeight="1">
      <c r="A5" s="51" t="s">
        <v>26</v>
      </c>
      <c r="B5" s="52"/>
      <c r="C5" s="93">
        <f aca="true" t="shared" si="0" ref="C5:H5">C6+C16+C18+C23+C24+C11</f>
        <v>615.5</v>
      </c>
      <c r="D5" s="93">
        <f t="shared" si="0"/>
        <v>0</v>
      </c>
      <c r="E5" s="93">
        <f t="shared" si="0"/>
        <v>615.5</v>
      </c>
      <c r="F5" s="93">
        <f t="shared" si="0"/>
        <v>422.2</v>
      </c>
      <c r="G5" s="93">
        <f t="shared" si="0"/>
        <v>349.1</v>
      </c>
      <c r="H5" s="93">
        <f t="shared" si="0"/>
        <v>392.9</v>
      </c>
      <c r="I5" s="66">
        <f aca="true" t="shared" si="1" ref="I5:I40">IF(E5&gt;0,H5/E5,0)</f>
        <v>0.6383428107229894</v>
      </c>
      <c r="J5" s="66">
        <f>IF(F5&gt;0,H5/F5,0)</f>
        <v>0.9306016106110848</v>
      </c>
      <c r="K5" s="93">
        <f>K6+K16+K18+K23+K24+K11</f>
        <v>385.79999999999995</v>
      </c>
      <c r="L5" s="66">
        <f>IF(K5&gt;0,H5/K5,0)</f>
        <v>1.018403317781234</v>
      </c>
      <c r="M5" s="93">
        <f>M6+M16+M18+M23+M24+M11</f>
        <v>43.8</v>
      </c>
      <c r="N5" s="93">
        <f>N6+N16+N18+N23+N24+N11</f>
        <v>76.8</v>
      </c>
      <c r="O5" s="66">
        <f aca="true" t="shared" si="2" ref="O5:O32">IF(N5&gt;0,M5/N5,0)</f>
        <v>0.5703125</v>
      </c>
      <c r="P5" s="93">
        <f>P6+P16+P18+P23+P24+P11</f>
        <v>20.1</v>
      </c>
      <c r="Q5" s="93">
        <f>Q6+Q16+Q18+Q23+Q24+Q11</f>
        <v>15.799999999999999</v>
      </c>
      <c r="R5" s="93">
        <f>R6+R16+R18+R23+R24+R11</f>
        <v>15.399999999999999</v>
      </c>
    </row>
    <row r="6" spans="1:18" ht="16.5" customHeight="1">
      <c r="A6" s="9" t="s">
        <v>77</v>
      </c>
      <c r="B6" s="53">
        <v>1010200001</v>
      </c>
      <c r="C6" s="94">
        <f aca="true" t="shared" si="3" ref="C6:H6">C7+C8+C9+C10</f>
        <v>196.29999999999998</v>
      </c>
      <c r="D6" s="94">
        <f t="shared" si="3"/>
        <v>0</v>
      </c>
      <c r="E6" s="94">
        <f t="shared" si="3"/>
        <v>196.29999999999998</v>
      </c>
      <c r="F6" s="94">
        <f t="shared" si="3"/>
        <v>138</v>
      </c>
      <c r="G6" s="94">
        <f t="shared" si="3"/>
        <v>119.6</v>
      </c>
      <c r="H6" s="94">
        <f t="shared" si="3"/>
        <v>138.1</v>
      </c>
      <c r="I6" s="68">
        <f t="shared" si="1"/>
        <v>0.7035150280183393</v>
      </c>
      <c r="J6" s="68">
        <f>IF(F6&gt;0,H6/F6,0)</f>
        <v>1.0007246376811594</v>
      </c>
      <c r="K6" s="94">
        <f>K7+K8+K9+K10</f>
        <v>175.2</v>
      </c>
      <c r="L6" s="68">
        <f aca="true" t="shared" si="4" ref="L6:L40">IF(K6&gt;0,H6/K6,0)</f>
        <v>0.7882420091324202</v>
      </c>
      <c r="M6" s="94">
        <f>M7+M8+M9+M10</f>
        <v>18.5</v>
      </c>
      <c r="N6" s="94">
        <f>N7+N8+N9+N10</f>
        <v>45.8</v>
      </c>
      <c r="O6" s="68">
        <f t="shared" si="2"/>
        <v>0.4039301310043668</v>
      </c>
      <c r="P6" s="94">
        <f>P7+P8+P9+P10</f>
        <v>0</v>
      </c>
      <c r="Q6" s="94">
        <f>Q7+Q8+Q9+Q10</f>
        <v>0</v>
      </c>
      <c r="R6" s="94">
        <f>R7+R8+R9+R10</f>
        <v>0</v>
      </c>
    </row>
    <row r="7" spans="1:18" ht="18">
      <c r="A7" s="10" t="s">
        <v>53</v>
      </c>
      <c r="B7" s="13">
        <v>1010201001</v>
      </c>
      <c r="C7" s="74">
        <v>196.1</v>
      </c>
      <c r="D7" s="70"/>
      <c r="E7" s="69">
        <f>C7+D7</f>
        <v>196.1</v>
      </c>
      <c r="F7" s="69">
        <f>45+45+48</f>
        <v>138</v>
      </c>
      <c r="G7" s="70">
        <v>119.1</v>
      </c>
      <c r="H7" s="71">
        <f>G7+M7</f>
        <v>137.6</v>
      </c>
      <c r="I7" s="72">
        <f t="shared" si="1"/>
        <v>0.7016828148903621</v>
      </c>
      <c r="J7" s="72">
        <f aca="true" t="shared" si="5" ref="J7:J40">IF(F7&gt;0,H7/F7,0)</f>
        <v>0.9971014492753623</v>
      </c>
      <c r="K7" s="73">
        <v>174.6</v>
      </c>
      <c r="L7" s="72">
        <f t="shared" si="4"/>
        <v>0.7880870561282932</v>
      </c>
      <c r="M7" s="70">
        <v>18.5</v>
      </c>
      <c r="N7" s="73">
        <v>45.8</v>
      </c>
      <c r="O7" s="72">
        <f t="shared" si="2"/>
        <v>0.4039301310043668</v>
      </c>
      <c r="P7" s="74"/>
      <c r="Q7" s="74"/>
      <c r="R7" s="74"/>
    </row>
    <row r="8" spans="1:18" ht="18">
      <c r="A8" s="10" t="s">
        <v>52</v>
      </c>
      <c r="B8" s="13">
        <v>1010202001</v>
      </c>
      <c r="C8" s="74"/>
      <c r="D8" s="70"/>
      <c r="E8" s="69">
        <f>C8+D8</f>
        <v>0</v>
      </c>
      <c r="F8" s="69"/>
      <c r="G8" s="74"/>
      <c r="H8" s="71">
        <f>G8+M8</f>
        <v>0</v>
      </c>
      <c r="I8" s="72">
        <f t="shared" si="1"/>
        <v>0</v>
      </c>
      <c r="J8" s="72">
        <f t="shared" si="5"/>
        <v>0</v>
      </c>
      <c r="K8" s="73"/>
      <c r="L8" s="72">
        <f>IF(K8&gt;0,H8/K8,0)</f>
        <v>0</v>
      </c>
      <c r="M8" s="74"/>
      <c r="N8" s="73"/>
      <c r="O8" s="72">
        <f>IF(N8&gt;0,M8/N8,0)</f>
        <v>0</v>
      </c>
      <c r="P8" s="69"/>
      <c r="Q8" s="69"/>
      <c r="R8" s="69"/>
    </row>
    <row r="9" spans="1:18" ht="18" customHeight="1">
      <c r="A9" s="10" t="s">
        <v>50</v>
      </c>
      <c r="B9" s="13">
        <v>1010203001</v>
      </c>
      <c r="C9" s="74">
        <v>0.2</v>
      </c>
      <c r="D9" s="74"/>
      <c r="E9" s="69">
        <f>C9+D9</f>
        <v>0.2</v>
      </c>
      <c r="F9" s="69"/>
      <c r="G9" s="74">
        <v>0.5</v>
      </c>
      <c r="H9" s="71">
        <f>G9+M9</f>
        <v>0.5</v>
      </c>
      <c r="I9" s="72">
        <f t="shared" si="1"/>
        <v>2.5</v>
      </c>
      <c r="J9" s="72">
        <f t="shared" si="5"/>
        <v>0</v>
      </c>
      <c r="K9" s="73">
        <v>0.6</v>
      </c>
      <c r="L9" s="72">
        <f t="shared" si="4"/>
        <v>0.8333333333333334</v>
      </c>
      <c r="M9" s="74"/>
      <c r="N9" s="73"/>
      <c r="O9" s="72">
        <f t="shared" si="2"/>
        <v>0</v>
      </c>
      <c r="P9" s="74"/>
      <c r="Q9" s="74"/>
      <c r="R9" s="74"/>
    </row>
    <row r="10" spans="1:18" ht="1.5" customHeight="1" hidden="1">
      <c r="A10" s="10" t="s">
        <v>51</v>
      </c>
      <c r="B10" s="13">
        <v>1010204001</v>
      </c>
      <c r="C10" s="74"/>
      <c r="D10" s="74"/>
      <c r="E10" s="69">
        <f>C10+D10</f>
        <v>0</v>
      </c>
      <c r="F10" s="69"/>
      <c r="G10" s="74"/>
      <c r="H10" s="71">
        <f>G10+M10</f>
        <v>0</v>
      </c>
      <c r="I10" s="72">
        <f t="shared" si="1"/>
        <v>0</v>
      </c>
      <c r="J10" s="72">
        <f t="shared" si="5"/>
        <v>0</v>
      </c>
      <c r="K10" s="73"/>
      <c r="L10" s="72">
        <f t="shared" si="4"/>
        <v>0</v>
      </c>
      <c r="M10" s="74"/>
      <c r="N10" s="73"/>
      <c r="O10" s="72">
        <f t="shared" si="2"/>
        <v>0</v>
      </c>
      <c r="P10" s="74"/>
      <c r="Q10" s="74"/>
      <c r="R10" s="74"/>
    </row>
    <row r="11" spans="1:18" ht="15.75" customHeight="1">
      <c r="A11" s="11" t="s">
        <v>62</v>
      </c>
      <c r="B11" s="19">
        <v>1030200001</v>
      </c>
      <c r="C11" s="75">
        <f aca="true" t="shared" si="6" ref="C11:H11">SUM(C12:C15)</f>
        <v>261.3</v>
      </c>
      <c r="D11" s="75">
        <f t="shared" si="6"/>
        <v>0</v>
      </c>
      <c r="E11" s="75">
        <f t="shared" si="6"/>
        <v>261.3</v>
      </c>
      <c r="F11" s="75">
        <f>65+48+48</f>
        <v>161</v>
      </c>
      <c r="G11" s="75">
        <f>SUM(G12:G15)</f>
        <v>141.70000000000002</v>
      </c>
      <c r="H11" s="75">
        <f t="shared" si="6"/>
        <v>158.1</v>
      </c>
      <c r="I11" s="68">
        <f t="shared" si="1"/>
        <v>0.6050516647531572</v>
      </c>
      <c r="J11" s="68">
        <f>IF(F11&gt;0,H11/F11,0)</f>
        <v>0.9819875776397515</v>
      </c>
      <c r="K11" s="75">
        <f>SUM(K12:K15)</f>
        <v>0</v>
      </c>
      <c r="L11" s="68">
        <f t="shared" si="4"/>
        <v>0</v>
      </c>
      <c r="M11" s="75">
        <f>SUM(M12:M15)</f>
        <v>16.4</v>
      </c>
      <c r="N11" s="75">
        <f>SUM(N12:N15)</f>
        <v>0</v>
      </c>
      <c r="O11" s="68">
        <f t="shared" si="2"/>
        <v>0</v>
      </c>
      <c r="P11" s="75">
        <f>SUM(P12:P15)</f>
        <v>0</v>
      </c>
      <c r="Q11" s="75">
        <f>SUM(Q12:Q15)</f>
        <v>0</v>
      </c>
      <c r="R11" s="75">
        <f>SUM(R12:R15)</f>
        <v>0</v>
      </c>
    </row>
    <row r="12" spans="1:18" ht="22.5" customHeight="1">
      <c r="A12" s="12" t="s">
        <v>63</v>
      </c>
      <c r="B12" s="12">
        <v>1030223001</v>
      </c>
      <c r="C12" s="74">
        <v>110.8</v>
      </c>
      <c r="D12" s="74"/>
      <c r="E12" s="69">
        <f>C12+D12</f>
        <v>110.8</v>
      </c>
      <c r="F12" s="69"/>
      <c r="G12" s="74">
        <v>54.7</v>
      </c>
      <c r="H12" s="71">
        <f>G12+M12</f>
        <v>60.1</v>
      </c>
      <c r="I12" s="72">
        <f t="shared" si="1"/>
        <v>0.5424187725631769</v>
      </c>
      <c r="J12" s="72">
        <f>IF(F12&gt;0,H12/F12,0)</f>
        <v>0</v>
      </c>
      <c r="K12" s="73"/>
      <c r="L12" s="72">
        <f t="shared" si="4"/>
        <v>0</v>
      </c>
      <c r="M12" s="74">
        <v>5.4</v>
      </c>
      <c r="N12" s="73"/>
      <c r="O12" s="72">
        <f t="shared" si="2"/>
        <v>0</v>
      </c>
      <c r="P12" s="74"/>
      <c r="Q12" s="74"/>
      <c r="R12" s="74"/>
    </row>
    <row r="13" spans="1:18" ht="18.75" customHeight="1">
      <c r="A13" s="12" t="s">
        <v>64</v>
      </c>
      <c r="B13" s="12">
        <v>1030224001</v>
      </c>
      <c r="C13" s="74">
        <v>1.8</v>
      </c>
      <c r="D13" s="74"/>
      <c r="E13" s="69">
        <f>C13+D13</f>
        <v>1.8</v>
      </c>
      <c r="F13" s="69"/>
      <c r="G13" s="74">
        <v>1.1</v>
      </c>
      <c r="H13" s="71">
        <f>G13+M13</f>
        <v>1.2000000000000002</v>
      </c>
      <c r="I13" s="72">
        <f t="shared" si="1"/>
        <v>0.6666666666666667</v>
      </c>
      <c r="J13" s="72">
        <f>IF(F13&gt;0,H13/F13,0)</f>
        <v>0</v>
      </c>
      <c r="K13" s="73"/>
      <c r="L13" s="72">
        <f t="shared" si="4"/>
        <v>0</v>
      </c>
      <c r="M13" s="74">
        <v>0.1</v>
      </c>
      <c r="N13" s="73"/>
      <c r="O13" s="72">
        <f t="shared" si="2"/>
        <v>0</v>
      </c>
      <c r="P13" s="74"/>
      <c r="Q13" s="74"/>
      <c r="R13" s="74"/>
    </row>
    <row r="14" spans="1:18" ht="19.5" customHeight="1">
      <c r="A14" s="12" t="s">
        <v>65</v>
      </c>
      <c r="B14" s="12">
        <v>1030225001</v>
      </c>
      <c r="C14" s="74">
        <v>141.4</v>
      </c>
      <c r="D14" s="74"/>
      <c r="E14" s="69">
        <f>C14+D14</f>
        <v>141.4</v>
      </c>
      <c r="F14" s="69"/>
      <c r="G14" s="74">
        <v>86.4</v>
      </c>
      <c r="H14" s="71">
        <f>G14+M14</f>
        <v>98.60000000000001</v>
      </c>
      <c r="I14" s="72">
        <f t="shared" si="1"/>
        <v>0.6973125884016973</v>
      </c>
      <c r="J14" s="72">
        <f>IF(F14&gt;0,H14/F14,0)</f>
        <v>0</v>
      </c>
      <c r="K14" s="73"/>
      <c r="L14" s="72">
        <f t="shared" si="4"/>
        <v>0</v>
      </c>
      <c r="M14" s="74">
        <v>12.2</v>
      </c>
      <c r="N14" s="73"/>
      <c r="O14" s="72">
        <f t="shared" si="2"/>
        <v>0</v>
      </c>
      <c r="P14" s="74"/>
      <c r="Q14" s="74"/>
      <c r="R14" s="74"/>
    </row>
    <row r="15" spans="1:18" ht="15.75" customHeight="1">
      <c r="A15" s="12" t="s">
        <v>66</v>
      </c>
      <c r="B15" s="12">
        <v>1030226001</v>
      </c>
      <c r="C15" s="74">
        <v>7.3</v>
      </c>
      <c r="D15" s="74"/>
      <c r="E15" s="69">
        <f>C15+D15</f>
        <v>7.3</v>
      </c>
      <c r="F15" s="69"/>
      <c r="G15" s="74">
        <v>-0.5</v>
      </c>
      <c r="H15" s="71">
        <f>G15+M15</f>
        <v>-1.8</v>
      </c>
      <c r="I15" s="72">
        <f t="shared" si="1"/>
        <v>-0.24657534246575344</v>
      </c>
      <c r="J15" s="72">
        <f>IF(F15&gt;0,H15/F15,0)</f>
        <v>0</v>
      </c>
      <c r="K15" s="73"/>
      <c r="L15" s="72">
        <f t="shared" si="4"/>
        <v>0</v>
      </c>
      <c r="M15" s="74">
        <v>-1.3</v>
      </c>
      <c r="N15" s="73"/>
      <c r="O15" s="72">
        <f t="shared" si="2"/>
        <v>0</v>
      </c>
      <c r="P15" s="74"/>
      <c r="Q15" s="74"/>
      <c r="R15" s="74"/>
    </row>
    <row r="16" spans="1:18" ht="18">
      <c r="A16" s="9" t="s">
        <v>84</v>
      </c>
      <c r="B16" s="30">
        <v>1050000000</v>
      </c>
      <c r="C16" s="75">
        <f aca="true" t="shared" si="7" ref="C16:H16">C17</f>
        <v>2</v>
      </c>
      <c r="D16" s="76">
        <f t="shared" si="7"/>
        <v>0</v>
      </c>
      <c r="E16" s="76">
        <f t="shared" si="7"/>
        <v>2</v>
      </c>
      <c r="F16" s="76">
        <f t="shared" si="7"/>
        <v>0</v>
      </c>
      <c r="G16" s="75">
        <f>G17</f>
        <v>0</v>
      </c>
      <c r="H16" s="76">
        <f t="shared" si="7"/>
        <v>0</v>
      </c>
      <c r="I16" s="68">
        <f t="shared" si="1"/>
        <v>0</v>
      </c>
      <c r="J16" s="68">
        <f t="shared" si="5"/>
        <v>0</v>
      </c>
      <c r="K16" s="76">
        <f>K17</f>
        <v>7.9</v>
      </c>
      <c r="L16" s="68">
        <f t="shared" si="4"/>
        <v>0</v>
      </c>
      <c r="M16" s="75">
        <f>M17</f>
        <v>0</v>
      </c>
      <c r="N16" s="76">
        <f>N17</f>
        <v>0.1</v>
      </c>
      <c r="O16" s="68">
        <f t="shared" si="2"/>
        <v>0</v>
      </c>
      <c r="P16" s="75">
        <f>P17</f>
        <v>0</v>
      </c>
      <c r="Q16" s="75">
        <f>Q17</f>
        <v>0</v>
      </c>
      <c r="R16" s="75">
        <f>R17</f>
        <v>0</v>
      </c>
    </row>
    <row r="17" spans="1:18" ht="18">
      <c r="A17" s="13" t="s">
        <v>9</v>
      </c>
      <c r="B17" s="13">
        <v>1050300001</v>
      </c>
      <c r="C17" s="74">
        <v>2</v>
      </c>
      <c r="D17" s="70"/>
      <c r="E17" s="69">
        <f>C17+D17</f>
        <v>2</v>
      </c>
      <c r="F17" s="69">
        <f>1-1</f>
        <v>0</v>
      </c>
      <c r="G17" s="74"/>
      <c r="H17" s="71">
        <f>G17+M17</f>
        <v>0</v>
      </c>
      <c r="I17" s="72">
        <f t="shared" si="1"/>
        <v>0</v>
      </c>
      <c r="J17" s="72">
        <f t="shared" si="5"/>
        <v>0</v>
      </c>
      <c r="K17" s="77">
        <v>7.9</v>
      </c>
      <c r="L17" s="72">
        <f t="shared" si="4"/>
        <v>0</v>
      </c>
      <c r="M17" s="74"/>
      <c r="N17" s="77">
        <v>0.1</v>
      </c>
      <c r="O17" s="72">
        <f t="shared" si="2"/>
        <v>0</v>
      </c>
      <c r="P17" s="74"/>
      <c r="Q17" s="74"/>
      <c r="R17" s="74"/>
    </row>
    <row r="18" spans="1:18" ht="18">
      <c r="A18" s="9" t="s">
        <v>85</v>
      </c>
      <c r="B18" s="30">
        <v>1060000000</v>
      </c>
      <c r="C18" s="75">
        <f aca="true" t="shared" si="8" ref="C18:H18">C19+C22</f>
        <v>152.1</v>
      </c>
      <c r="D18" s="76">
        <f t="shared" si="8"/>
        <v>0</v>
      </c>
      <c r="E18" s="76">
        <f t="shared" si="8"/>
        <v>152.1</v>
      </c>
      <c r="F18" s="76">
        <f t="shared" si="8"/>
        <v>121</v>
      </c>
      <c r="G18" s="75">
        <f>G19+G22</f>
        <v>85.89999999999999</v>
      </c>
      <c r="H18" s="76">
        <f t="shared" si="8"/>
        <v>94.39999999999999</v>
      </c>
      <c r="I18" s="68">
        <f t="shared" si="1"/>
        <v>0.6206443129520052</v>
      </c>
      <c r="J18" s="68">
        <f t="shared" si="5"/>
        <v>0.7801652892561983</v>
      </c>
      <c r="K18" s="76">
        <f>K19+K22</f>
        <v>200.29999999999998</v>
      </c>
      <c r="L18" s="68">
        <f t="shared" si="4"/>
        <v>0.4712930604093859</v>
      </c>
      <c r="M18" s="75">
        <f>M19+M22</f>
        <v>8.5</v>
      </c>
      <c r="N18" s="76">
        <f>N19+N22</f>
        <v>30.7</v>
      </c>
      <c r="O18" s="68">
        <f t="shared" si="2"/>
        <v>0.2768729641693811</v>
      </c>
      <c r="P18" s="75">
        <f>P19+P22</f>
        <v>20.1</v>
      </c>
      <c r="Q18" s="75">
        <f>Q19+Q22</f>
        <v>15.799999999999999</v>
      </c>
      <c r="R18" s="75">
        <f>R19+R22</f>
        <v>15.399999999999999</v>
      </c>
    </row>
    <row r="19" spans="1:18" ht="18">
      <c r="A19" s="13" t="s">
        <v>15</v>
      </c>
      <c r="B19" s="13">
        <v>1060600000</v>
      </c>
      <c r="C19" s="78">
        <f aca="true" t="shared" si="9" ref="C19:H19">C20+C21</f>
        <v>123</v>
      </c>
      <c r="D19" s="78">
        <f t="shared" si="9"/>
        <v>0</v>
      </c>
      <c r="E19" s="70">
        <f t="shared" si="9"/>
        <v>123</v>
      </c>
      <c r="F19" s="70">
        <f t="shared" si="9"/>
        <v>99</v>
      </c>
      <c r="G19" s="78">
        <f>G20+G21</f>
        <v>80.69999999999999</v>
      </c>
      <c r="H19" s="70">
        <f t="shared" si="9"/>
        <v>86.19999999999999</v>
      </c>
      <c r="I19" s="72">
        <f t="shared" si="1"/>
        <v>0.7008130081300812</v>
      </c>
      <c r="J19" s="72">
        <f t="shared" si="5"/>
        <v>0.8707070707070705</v>
      </c>
      <c r="K19" s="78">
        <f>K20+K21</f>
        <v>181.1</v>
      </c>
      <c r="L19" s="72">
        <f t="shared" si="4"/>
        <v>0.47598012147984536</v>
      </c>
      <c r="M19" s="78">
        <f>M20+M21</f>
        <v>5.5</v>
      </c>
      <c r="N19" s="78">
        <f>N20+N21</f>
        <v>27.4</v>
      </c>
      <c r="O19" s="72">
        <f t="shared" si="2"/>
        <v>0.20072992700729927</v>
      </c>
      <c r="P19" s="74">
        <f>P20+P21</f>
        <v>18.3</v>
      </c>
      <c r="Q19" s="74">
        <f>Q20+Q21</f>
        <v>14.6</v>
      </c>
      <c r="R19" s="74">
        <f>R20+R21</f>
        <v>14.2</v>
      </c>
    </row>
    <row r="20" spans="1:18" ht="18">
      <c r="A20" s="13" t="s">
        <v>16</v>
      </c>
      <c r="B20" s="13">
        <v>1060601310</v>
      </c>
      <c r="C20" s="74">
        <v>117.7</v>
      </c>
      <c r="D20" s="70"/>
      <c r="E20" s="69">
        <f>C20+D20</f>
        <v>117.7</v>
      </c>
      <c r="F20" s="69">
        <f>31+32+36</f>
        <v>99</v>
      </c>
      <c r="G20" s="74">
        <v>80.6</v>
      </c>
      <c r="H20" s="71">
        <f>G20+M20</f>
        <v>86.1</v>
      </c>
      <c r="I20" s="72">
        <f t="shared" si="1"/>
        <v>0.7315208156329651</v>
      </c>
      <c r="J20" s="72">
        <f t="shared" si="5"/>
        <v>0.8696969696969696</v>
      </c>
      <c r="K20" s="73">
        <v>180</v>
      </c>
      <c r="L20" s="72">
        <f t="shared" si="4"/>
        <v>0.4783333333333333</v>
      </c>
      <c r="M20" s="74">
        <v>5.5</v>
      </c>
      <c r="N20" s="73">
        <v>37.9</v>
      </c>
      <c r="O20" s="72">
        <f t="shared" si="2"/>
        <v>0.14511873350923482</v>
      </c>
      <c r="P20" s="74">
        <v>18.2</v>
      </c>
      <c r="Q20" s="74">
        <v>14.4</v>
      </c>
      <c r="R20" s="74">
        <v>14</v>
      </c>
    </row>
    <row r="21" spans="1:18" ht="18">
      <c r="A21" s="13" t="s">
        <v>16</v>
      </c>
      <c r="B21" s="13">
        <v>1060602310</v>
      </c>
      <c r="C21" s="74">
        <v>5.3</v>
      </c>
      <c r="D21" s="70"/>
      <c r="E21" s="69">
        <f>C21+D21</f>
        <v>5.3</v>
      </c>
      <c r="F21" s="69"/>
      <c r="G21" s="74">
        <v>0.1</v>
      </c>
      <c r="H21" s="71">
        <f>G21+M21</f>
        <v>0.1</v>
      </c>
      <c r="I21" s="72">
        <f t="shared" si="1"/>
        <v>0.01886792452830189</v>
      </c>
      <c r="J21" s="72">
        <f t="shared" si="5"/>
        <v>0</v>
      </c>
      <c r="K21" s="73">
        <v>1.1</v>
      </c>
      <c r="L21" s="72">
        <f t="shared" si="4"/>
        <v>0.09090909090909091</v>
      </c>
      <c r="M21" s="74"/>
      <c r="N21" s="73">
        <v>-10.5</v>
      </c>
      <c r="O21" s="72">
        <f t="shared" si="2"/>
        <v>0</v>
      </c>
      <c r="P21" s="74">
        <v>0.1</v>
      </c>
      <c r="Q21" s="74">
        <v>0.2</v>
      </c>
      <c r="R21" s="74">
        <v>0.2</v>
      </c>
    </row>
    <row r="22" spans="1:18" ht="18">
      <c r="A22" s="13" t="s">
        <v>14</v>
      </c>
      <c r="B22" s="13">
        <v>1060103010</v>
      </c>
      <c r="C22" s="74">
        <v>29.1</v>
      </c>
      <c r="D22" s="70"/>
      <c r="E22" s="69">
        <f>C22+D22</f>
        <v>29.1</v>
      </c>
      <c r="F22" s="69">
        <f>3-2+21</f>
        <v>22</v>
      </c>
      <c r="G22" s="74">
        <v>5.2</v>
      </c>
      <c r="H22" s="71">
        <f>G22+M22</f>
        <v>8.2</v>
      </c>
      <c r="I22" s="72">
        <f t="shared" si="1"/>
        <v>0.28178694158075596</v>
      </c>
      <c r="J22" s="72">
        <f t="shared" si="5"/>
        <v>0.3727272727272727</v>
      </c>
      <c r="K22" s="73">
        <v>19.2</v>
      </c>
      <c r="L22" s="72">
        <f t="shared" si="4"/>
        <v>0.4270833333333333</v>
      </c>
      <c r="M22" s="74">
        <v>3</v>
      </c>
      <c r="N22" s="73">
        <v>3.3</v>
      </c>
      <c r="O22" s="72">
        <f t="shared" si="2"/>
        <v>0.9090909090909092</v>
      </c>
      <c r="P22" s="74">
        <v>1.8</v>
      </c>
      <c r="Q22" s="74">
        <v>1.2</v>
      </c>
      <c r="R22" s="74">
        <v>1.2</v>
      </c>
    </row>
    <row r="23" spans="1:18" ht="18">
      <c r="A23" s="30" t="s">
        <v>86</v>
      </c>
      <c r="B23" s="30">
        <v>1080402001</v>
      </c>
      <c r="C23" s="75">
        <v>3.8</v>
      </c>
      <c r="D23" s="76"/>
      <c r="E23" s="67">
        <f>C23+D23</f>
        <v>3.8</v>
      </c>
      <c r="F23" s="67">
        <f>0.5+0.5+1.2</f>
        <v>2.2</v>
      </c>
      <c r="G23" s="75">
        <v>1.9</v>
      </c>
      <c r="H23" s="79">
        <f>G23+M23</f>
        <v>2.3</v>
      </c>
      <c r="I23" s="68">
        <f t="shared" si="1"/>
        <v>0.6052631578947368</v>
      </c>
      <c r="J23" s="68">
        <f t="shared" si="5"/>
        <v>1.0454545454545452</v>
      </c>
      <c r="K23" s="80">
        <v>2.4</v>
      </c>
      <c r="L23" s="68">
        <f t="shared" si="4"/>
        <v>0.9583333333333333</v>
      </c>
      <c r="M23" s="75">
        <v>0.4</v>
      </c>
      <c r="N23" s="80">
        <v>0.2</v>
      </c>
      <c r="O23" s="68">
        <f t="shared" si="2"/>
        <v>2</v>
      </c>
      <c r="P23" s="75"/>
      <c r="Q23" s="75"/>
      <c r="R23" s="75"/>
    </row>
    <row r="24" spans="1:18" ht="18">
      <c r="A24" s="30" t="s">
        <v>87</v>
      </c>
      <c r="B24" s="30">
        <v>1090405010</v>
      </c>
      <c r="C24" s="75"/>
      <c r="D24" s="75"/>
      <c r="E24" s="67">
        <f>C24+D24</f>
        <v>0</v>
      </c>
      <c r="F24" s="67"/>
      <c r="G24" s="75"/>
      <c r="H24" s="79">
        <f>G24+M24</f>
        <v>0</v>
      </c>
      <c r="I24" s="68">
        <f t="shared" si="1"/>
        <v>0</v>
      </c>
      <c r="J24" s="68">
        <f t="shared" si="5"/>
        <v>0</v>
      </c>
      <c r="K24" s="80"/>
      <c r="L24" s="68">
        <f t="shared" si="4"/>
        <v>0</v>
      </c>
      <c r="M24" s="75"/>
      <c r="N24" s="80"/>
      <c r="O24" s="68">
        <f t="shared" si="2"/>
        <v>0</v>
      </c>
      <c r="P24" s="75"/>
      <c r="Q24" s="75"/>
      <c r="R24" s="75"/>
    </row>
    <row r="25" spans="1:18" ht="18">
      <c r="A25" s="14" t="s">
        <v>27</v>
      </c>
      <c r="B25" s="32"/>
      <c r="C25" s="95">
        <f aca="true" t="shared" si="10" ref="C25:H25">C26+C29+C33+C30+C32+C31</f>
        <v>251.5</v>
      </c>
      <c r="D25" s="95">
        <f t="shared" si="10"/>
        <v>89.2</v>
      </c>
      <c r="E25" s="95">
        <f t="shared" si="10"/>
        <v>340.7</v>
      </c>
      <c r="F25" s="95">
        <f t="shared" si="10"/>
        <v>229</v>
      </c>
      <c r="G25" s="95">
        <f>G26+G29+G33+G30+G32+G31</f>
        <v>284.5</v>
      </c>
      <c r="H25" s="95">
        <f t="shared" si="10"/>
        <v>339.2</v>
      </c>
      <c r="I25" s="66">
        <f t="shared" si="1"/>
        <v>0.9955972996771353</v>
      </c>
      <c r="J25" s="66">
        <f t="shared" si="5"/>
        <v>1.4812227074235806</v>
      </c>
      <c r="K25" s="95">
        <f>K26+K29+K33+K30+K32+K31</f>
        <v>189.79999999999998</v>
      </c>
      <c r="L25" s="66">
        <f t="shared" si="4"/>
        <v>1.7871443624868284</v>
      </c>
      <c r="M25" s="95">
        <f>M26+M29+M33+M30+M32+M31</f>
        <v>54.7</v>
      </c>
      <c r="N25" s="95">
        <f>N26+N29+N33+N30+N32+N31</f>
        <v>51.3</v>
      </c>
      <c r="O25" s="66">
        <f t="shared" si="2"/>
        <v>1.0662768031189085</v>
      </c>
      <c r="P25" s="81">
        <f>P26+P29+P32</f>
        <v>0</v>
      </c>
      <c r="Q25" s="81">
        <f>Q26+Q29+Q32</f>
        <v>0</v>
      </c>
      <c r="R25" s="81">
        <f>R26+R29+R32</f>
        <v>0</v>
      </c>
    </row>
    <row r="26" spans="1:18" ht="18">
      <c r="A26" s="9" t="s">
        <v>88</v>
      </c>
      <c r="B26" s="30">
        <v>1110000000</v>
      </c>
      <c r="C26" s="75">
        <f aca="true" t="shared" si="11" ref="C26:H26">C27+C28</f>
        <v>51</v>
      </c>
      <c r="D26" s="75">
        <f t="shared" si="11"/>
        <v>64.2</v>
      </c>
      <c r="E26" s="75">
        <f t="shared" si="11"/>
        <v>115.2</v>
      </c>
      <c r="F26" s="75">
        <f t="shared" si="11"/>
        <v>83</v>
      </c>
      <c r="G26" s="75">
        <f>G27+G28</f>
        <v>104.80000000000001</v>
      </c>
      <c r="H26" s="75">
        <f t="shared" si="11"/>
        <v>124.4</v>
      </c>
      <c r="I26" s="96">
        <f t="shared" si="1"/>
        <v>1.0798611111111112</v>
      </c>
      <c r="J26" s="96">
        <f t="shared" si="5"/>
        <v>1.4987951807228916</v>
      </c>
      <c r="K26" s="75">
        <f>K27+K28</f>
        <v>42.8</v>
      </c>
      <c r="L26" s="96">
        <f t="shared" si="4"/>
        <v>2.9065420560747666</v>
      </c>
      <c r="M26" s="75">
        <f>M27+M28</f>
        <v>19.6</v>
      </c>
      <c r="N26" s="75">
        <f>N27+N28</f>
        <v>3.3</v>
      </c>
      <c r="O26" s="96">
        <f t="shared" si="2"/>
        <v>5.93939393939394</v>
      </c>
      <c r="P26" s="75">
        <f>P27+P28</f>
        <v>0</v>
      </c>
      <c r="Q26" s="75">
        <f>Q27+Q28</f>
        <v>0</v>
      </c>
      <c r="R26" s="75">
        <f>R27+R28</f>
        <v>0</v>
      </c>
    </row>
    <row r="27" spans="1:18" ht="18">
      <c r="A27" s="13" t="s">
        <v>31</v>
      </c>
      <c r="B27" s="13">
        <v>1110501013</v>
      </c>
      <c r="C27" s="74">
        <v>21</v>
      </c>
      <c r="D27" s="70">
        <f>54.2+10</f>
        <v>64.2</v>
      </c>
      <c r="E27" s="74">
        <f>C27+D27</f>
        <v>85.2</v>
      </c>
      <c r="F27" s="74">
        <f>40+21</f>
        <v>61</v>
      </c>
      <c r="G27" s="74">
        <v>83.2</v>
      </c>
      <c r="H27" s="70">
        <f aca="true" t="shared" si="12" ref="H27:H32">G27+M27</f>
        <v>98.8</v>
      </c>
      <c r="I27" s="85">
        <f t="shared" si="1"/>
        <v>1.1596244131455398</v>
      </c>
      <c r="J27" s="85">
        <f t="shared" si="5"/>
        <v>1.6196721311475408</v>
      </c>
      <c r="K27" s="70">
        <v>21</v>
      </c>
      <c r="L27" s="85">
        <f t="shared" si="4"/>
        <v>4.704761904761905</v>
      </c>
      <c r="M27" s="74">
        <v>15.6</v>
      </c>
      <c r="N27" s="70">
        <v>-0.2</v>
      </c>
      <c r="O27" s="85">
        <f t="shared" si="2"/>
        <v>0</v>
      </c>
      <c r="P27" s="74"/>
      <c r="Q27" s="74"/>
      <c r="R27" s="74"/>
    </row>
    <row r="28" spans="1:18" ht="18">
      <c r="A28" s="33" t="s">
        <v>28</v>
      </c>
      <c r="B28" s="13">
        <v>1110904510</v>
      </c>
      <c r="C28" s="74">
        <v>30</v>
      </c>
      <c r="D28" s="70"/>
      <c r="E28" s="74">
        <f>C28+D28</f>
        <v>30</v>
      </c>
      <c r="F28" s="74">
        <f>5+8+9</f>
        <v>22</v>
      </c>
      <c r="G28" s="74">
        <v>21.6</v>
      </c>
      <c r="H28" s="70">
        <f t="shared" si="12"/>
        <v>25.6</v>
      </c>
      <c r="I28" s="85">
        <f t="shared" si="1"/>
        <v>0.8533333333333334</v>
      </c>
      <c r="J28" s="85">
        <f t="shared" si="5"/>
        <v>1.1636363636363638</v>
      </c>
      <c r="K28" s="83">
        <v>21.8</v>
      </c>
      <c r="L28" s="85">
        <f t="shared" si="4"/>
        <v>1.1743119266055047</v>
      </c>
      <c r="M28" s="74">
        <v>4</v>
      </c>
      <c r="N28" s="83">
        <v>3.5</v>
      </c>
      <c r="O28" s="85">
        <f t="shared" si="2"/>
        <v>1.1428571428571428</v>
      </c>
      <c r="P28" s="74"/>
      <c r="Q28" s="74"/>
      <c r="R28" s="74"/>
    </row>
    <row r="29" spans="1:18" ht="18">
      <c r="A29" s="9" t="s">
        <v>46</v>
      </c>
      <c r="B29" s="30">
        <v>1130299510</v>
      </c>
      <c r="C29" s="75">
        <v>200</v>
      </c>
      <c r="D29" s="75">
        <f>25</f>
        <v>25</v>
      </c>
      <c r="E29" s="75">
        <f>C29+D29</f>
        <v>225</v>
      </c>
      <c r="F29" s="75">
        <f>38+54+54</f>
        <v>146</v>
      </c>
      <c r="G29" s="75">
        <v>179.5</v>
      </c>
      <c r="H29" s="76">
        <f t="shared" si="12"/>
        <v>214.5</v>
      </c>
      <c r="I29" s="96">
        <f t="shared" si="1"/>
        <v>0.9533333333333334</v>
      </c>
      <c r="J29" s="96">
        <f t="shared" si="5"/>
        <v>1.4691780821917808</v>
      </c>
      <c r="K29" s="84">
        <v>146.7</v>
      </c>
      <c r="L29" s="96">
        <f t="shared" si="4"/>
        <v>1.4621676891615543</v>
      </c>
      <c r="M29" s="75">
        <v>35</v>
      </c>
      <c r="N29" s="84">
        <v>48</v>
      </c>
      <c r="O29" s="96">
        <f t="shared" si="2"/>
        <v>0.7291666666666666</v>
      </c>
      <c r="P29" s="75"/>
      <c r="Q29" s="75"/>
      <c r="R29" s="75"/>
    </row>
    <row r="30" spans="1:18" ht="18">
      <c r="A30" s="9" t="s">
        <v>89</v>
      </c>
      <c r="B30" s="30">
        <v>1140205310</v>
      </c>
      <c r="C30" s="75"/>
      <c r="D30" s="75"/>
      <c r="E30" s="75">
        <f>C30+D30</f>
        <v>0</v>
      </c>
      <c r="F30" s="75"/>
      <c r="G30" s="75"/>
      <c r="H30" s="76">
        <f t="shared" si="12"/>
        <v>0</v>
      </c>
      <c r="I30" s="96">
        <f>IF(E30&gt;0,H30/E30,0)</f>
        <v>0</v>
      </c>
      <c r="J30" s="96">
        <f>IF(F30&gt;0,H30/F30,0)</f>
        <v>0</v>
      </c>
      <c r="K30" s="84"/>
      <c r="L30" s="96">
        <f t="shared" si="4"/>
        <v>0</v>
      </c>
      <c r="M30" s="75"/>
      <c r="N30" s="84"/>
      <c r="O30" s="96">
        <f t="shared" si="2"/>
        <v>0</v>
      </c>
      <c r="P30" s="75"/>
      <c r="Q30" s="75"/>
      <c r="R30" s="75"/>
    </row>
    <row r="31" spans="1:18" ht="18">
      <c r="A31" s="9" t="s">
        <v>90</v>
      </c>
      <c r="B31" s="30">
        <v>1140601410</v>
      </c>
      <c r="C31" s="75"/>
      <c r="D31" s="75"/>
      <c r="E31" s="75"/>
      <c r="F31" s="75"/>
      <c r="G31" s="75"/>
      <c r="H31" s="76">
        <f t="shared" si="12"/>
        <v>0</v>
      </c>
      <c r="I31" s="96">
        <f>IF(E31&gt;0,H31/E31,0)</f>
        <v>0</v>
      </c>
      <c r="J31" s="96">
        <f>IF(F31&gt;0,H31/F31,0)</f>
        <v>0</v>
      </c>
      <c r="K31" s="84">
        <v>0.2</v>
      </c>
      <c r="L31" s="96">
        <f t="shared" si="4"/>
        <v>0</v>
      </c>
      <c r="M31" s="75"/>
      <c r="N31" s="84"/>
      <c r="O31" s="96">
        <f t="shared" si="2"/>
        <v>0</v>
      </c>
      <c r="P31" s="75"/>
      <c r="Q31" s="75"/>
      <c r="R31" s="75"/>
    </row>
    <row r="32" spans="1:18" ht="18">
      <c r="A32" s="9" t="s">
        <v>91</v>
      </c>
      <c r="B32" s="30">
        <v>1169005010</v>
      </c>
      <c r="C32" s="75">
        <v>0.5</v>
      </c>
      <c r="D32" s="75"/>
      <c r="E32" s="76">
        <f>C32+D32</f>
        <v>0.5</v>
      </c>
      <c r="F32" s="76"/>
      <c r="G32" s="75"/>
      <c r="H32" s="76">
        <f t="shared" si="12"/>
        <v>0</v>
      </c>
      <c r="I32" s="96">
        <f>IF(E32&gt;0,H32/E32,0)</f>
        <v>0</v>
      </c>
      <c r="J32" s="96">
        <f>IF(F32&gt;0,H32/F32,0)</f>
        <v>0</v>
      </c>
      <c r="K32" s="84"/>
      <c r="L32" s="96">
        <f t="shared" si="4"/>
        <v>0</v>
      </c>
      <c r="M32" s="75"/>
      <c r="N32" s="84"/>
      <c r="O32" s="96">
        <f t="shared" si="2"/>
        <v>0</v>
      </c>
      <c r="P32" s="75"/>
      <c r="Q32" s="75"/>
      <c r="R32" s="75"/>
    </row>
    <row r="33" spans="1:18" ht="18">
      <c r="A33" s="9" t="s">
        <v>83</v>
      </c>
      <c r="B33" s="30">
        <v>1170000000</v>
      </c>
      <c r="C33" s="75">
        <f>SUM(C34:C35)</f>
        <v>0</v>
      </c>
      <c r="D33" s="75">
        <f aca="true" t="shared" si="13" ref="D33:R33">SUM(D34:D35)</f>
        <v>0</v>
      </c>
      <c r="E33" s="75">
        <f t="shared" si="13"/>
        <v>0</v>
      </c>
      <c r="F33" s="75">
        <f t="shared" si="13"/>
        <v>0</v>
      </c>
      <c r="G33" s="75">
        <f>SUM(G34:G35)</f>
        <v>0.2</v>
      </c>
      <c r="H33" s="75">
        <f t="shared" si="13"/>
        <v>0.30000000000000004</v>
      </c>
      <c r="I33" s="96">
        <f>IF(E33&gt;0,H33/E33,0)</f>
        <v>0</v>
      </c>
      <c r="J33" s="96">
        <f>IF(F33&gt;0,H33/F33,0)</f>
        <v>0</v>
      </c>
      <c r="K33" s="75">
        <f>SUM(K34:K35)</f>
        <v>0.1</v>
      </c>
      <c r="L33" s="96">
        <f t="shared" si="4"/>
        <v>3.0000000000000004</v>
      </c>
      <c r="M33" s="75">
        <f t="shared" si="13"/>
        <v>0.1</v>
      </c>
      <c r="N33" s="75">
        <f>SUM(N34:N35)</f>
        <v>0</v>
      </c>
      <c r="O33" s="75">
        <f t="shared" si="13"/>
        <v>0</v>
      </c>
      <c r="P33" s="75">
        <f t="shared" si="13"/>
        <v>0</v>
      </c>
      <c r="Q33" s="75">
        <f>SUM(Q34:Q35)</f>
        <v>0</v>
      </c>
      <c r="R33" s="75">
        <f t="shared" si="13"/>
        <v>0</v>
      </c>
    </row>
    <row r="34" spans="1:18" ht="18">
      <c r="A34" s="13" t="s">
        <v>10</v>
      </c>
      <c r="B34" s="13">
        <v>1170103003</v>
      </c>
      <c r="C34" s="74"/>
      <c r="D34" s="74"/>
      <c r="E34" s="74">
        <f>C34+D34</f>
        <v>0</v>
      </c>
      <c r="F34" s="74"/>
      <c r="G34" s="74"/>
      <c r="H34" s="70">
        <f>G34+M34</f>
        <v>0</v>
      </c>
      <c r="I34" s="85">
        <f t="shared" si="1"/>
        <v>0</v>
      </c>
      <c r="J34" s="85">
        <f t="shared" si="5"/>
        <v>0</v>
      </c>
      <c r="K34" s="83"/>
      <c r="L34" s="85">
        <f t="shared" si="4"/>
        <v>0</v>
      </c>
      <c r="M34" s="74"/>
      <c r="N34" s="83"/>
      <c r="O34" s="85">
        <f aca="true" t="shared" si="14" ref="O34:O40">IF(N34&gt;0,M34/N34,0)</f>
        <v>0</v>
      </c>
      <c r="P34" s="85"/>
      <c r="Q34" s="85"/>
      <c r="R34" s="85"/>
    </row>
    <row r="35" spans="1:18" ht="18">
      <c r="A35" s="13" t="s">
        <v>41</v>
      </c>
      <c r="B35" s="13">
        <v>1170505010</v>
      </c>
      <c r="C35" s="74"/>
      <c r="D35" s="70"/>
      <c r="E35" s="74">
        <f>C35+D35</f>
        <v>0</v>
      </c>
      <c r="F35" s="74"/>
      <c r="G35" s="74">
        <v>0.2</v>
      </c>
      <c r="H35" s="70">
        <f>G35+M35</f>
        <v>0.30000000000000004</v>
      </c>
      <c r="I35" s="85">
        <f>IF(E35&gt;0,H35/E35,0)</f>
        <v>0</v>
      </c>
      <c r="J35" s="85">
        <f>IF(F35&gt;0,H35/F35,0)</f>
        <v>0</v>
      </c>
      <c r="K35" s="83">
        <v>0.1</v>
      </c>
      <c r="L35" s="85">
        <f>IF(K35&gt;0,H35/K35,0)</f>
        <v>3.0000000000000004</v>
      </c>
      <c r="M35" s="74">
        <v>0.1</v>
      </c>
      <c r="N35" s="83"/>
      <c r="O35" s="85">
        <f t="shared" si="14"/>
        <v>0</v>
      </c>
      <c r="P35" s="74"/>
      <c r="Q35" s="74"/>
      <c r="R35" s="74"/>
    </row>
    <row r="36" spans="1:18" ht="18">
      <c r="A36" s="9" t="s">
        <v>8</v>
      </c>
      <c r="B36" s="9">
        <v>1000000000</v>
      </c>
      <c r="C36" s="87">
        <f aca="true" t="shared" si="15" ref="C36:H36">C5+C25</f>
        <v>867</v>
      </c>
      <c r="D36" s="87">
        <f t="shared" si="15"/>
        <v>89.2</v>
      </c>
      <c r="E36" s="87">
        <f t="shared" si="15"/>
        <v>956.2</v>
      </c>
      <c r="F36" s="87">
        <f t="shared" si="15"/>
        <v>651.2</v>
      </c>
      <c r="G36" s="87">
        <f>G5+G25</f>
        <v>633.6</v>
      </c>
      <c r="H36" s="87">
        <f t="shared" si="15"/>
        <v>732.0999999999999</v>
      </c>
      <c r="I36" s="88">
        <f t="shared" si="1"/>
        <v>0.7656348044342186</v>
      </c>
      <c r="J36" s="88">
        <f t="shared" si="5"/>
        <v>1.1242321867321865</v>
      </c>
      <c r="K36" s="87">
        <f>K5+K25</f>
        <v>575.5999999999999</v>
      </c>
      <c r="L36" s="88">
        <f t="shared" si="4"/>
        <v>1.2718902015288396</v>
      </c>
      <c r="M36" s="87">
        <f>M5+M25</f>
        <v>98.5</v>
      </c>
      <c r="N36" s="87">
        <f>N5+N25</f>
        <v>128.1</v>
      </c>
      <c r="O36" s="88">
        <f t="shared" si="14"/>
        <v>0.7689305230288838</v>
      </c>
      <c r="P36" s="87">
        <f>P5+P25</f>
        <v>20.1</v>
      </c>
      <c r="Q36" s="87">
        <f>Q5+Q25</f>
        <v>15.799999999999999</v>
      </c>
      <c r="R36" s="87">
        <f>R5+R25</f>
        <v>15.399999999999999</v>
      </c>
    </row>
    <row r="37" spans="1:18" ht="18">
      <c r="A37" s="9" t="s">
        <v>111</v>
      </c>
      <c r="B37" s="9"/>
      <c r="C37" s="87">
        <f aca="true" t="shared" si="16" ref="C37:H37">C36-C11</f>
        <v>605.7</v>
      </c>
      <c r="D37" s="87">
        <f t="shared" si="16"/>
        <v>89.2</v>
      </c>
      <c r="E37" s="87">
        <f t="shared" si="16"/>
        <v>694.9000000000001</v>
      </c>
      <c r="F37" s="87">
        <f t="shared" si="16"/>
        <v>490.20000000000005</v>
      </c>
      <c r="G37" s="87">
        <f t="shared" si="16"/>
        <v>491.9</v>
      </c>
      <c r="H37" s="87">
        <f t="shared" si="16"/>
        <v>573.9999999999999</v>
      </c>
      <c r="I37" s="88">
        <f>IF(E37&gt;0,H37/E37,0)</f>
        <v>0.8260181321053386</v>
      </c>
      <c r="J37" s="88">
        <f>IF(F37&gt;0,H37/F37,0)</f>
        <v>1.1709506323949406</v>
      </c>
      <c r="K37" s="87">
        <f>K36-K11</f>
        <v>575.5999999999999</v>
      </c>
      <c r="L37" s="88">
        <f t="shared" si="4"/>
        <v>0.9972202918693537</v>
      </c>
      <c r="M37" s="87">
        <f>M36-M11</f>
        <v>82.1</v>
      </c>
      <c r="N37" s="87">
        <f>N36-N11</f>
        <v>128.1</v>
      </c>
      <c r="O37" s="88">
        <f t="shared" si="14"/>
        <v>0.6409055425448867</v>
      </c>
      <c r="P37" s="87"/>
      <c r="Q37" s="87"/>
      <c r="R37" s="87"/>
    </row>
    <row r="38" spans="1:18" ht="18">
      <c r="A38" s="13" t="s">
        <v>44</v>
      </c>
      <c r="B38" s="13">
        <v>2000000000</v>
      </c>
      <c r="C38" s="74">
        <v>716.2</v>
      </c>
      <c r="D38" s="70">
        <f>10+120</f>
        <v>130</v>
      </c>
      <c r="E38" s="69">
        <f>C38+D38</f>
        <v>846.2</v>
      </c>
      <c r="F38" s="69">
        <f>175.3+180+171.4</f>
        <v>526.7</v>
      </c>
      <c r="G38" s="74">
        <v>503.2</v>
      </c>
      <c r="H38" s="70">
        <f>G38+M38</f>
        <v>612.6</v>
      </c>
      <c r="I38" s="72">
        <f t="shared" si="1"/>
        <v>0.7239423304183408</v>
      </c>
      <c r="J38" s="72">
        <f t="shared" si="5"/>
        <v>1.1630909436111638</v>
      </c>
      <c r="K38" s="98">
        <v>481.3</v>
      </c>
      <c r="L38" s="72">
        <f t="shared" si="4"/>
        <v>1.272802825680449</v>
      </c>
      <c r="M38" s="74">
        <v>109.4</v>
      </c>
      <c r="N38" s="98">
        <v>46.7</v>
      </c>
      <c r="O38" s="72">
        <f t="shared" si="14"/>
        <v>2.342612419700214</v>
      </c>
      <c r="P38" s="74"/>
      <c r="Q38" s="74"/>
      <c r="R38" s="74"/>
    </row>
    <row r="39" spans="1:18" ht="18">
      <c r="A39" s="13" t="s">
        <v>55</v>
      </c>
      <c r="B39" s="34" t="s">
        <v>45</v>
      </c>
      <c r="C39" s="74">
        <v>30</v>
      </c>
      <c r="D39" s="70"/>
      <c r="E39" s="69">
        <f>C39+D39</f>
        <v>30</v>
      </c>
      <c r="F39" s="69">
        <f>6+6+8</f>
        <v>20</v>
      </c>
      <c r="G39" s="74">
        <v>22</v>
      </c>
      <c r="H39" s="70">
        <f>G39+M39</f>
        <v>24.5</v>
      </c>
      <c r="I39" s="72">
        <f>IF(E39&gt;0,H39/E39,0)</f>
        <v>0.8166666666666667</v>
      </c>
      <c r="J39" s="72">
        <f>IF(F39&gt;0,H39/F39,0)</f>
        <v>1.225</v>
      </c>
      <c r="K39" s="74">
        <v>20</v>
      </c>
      <c r="L39" s="72">
        <f t="shared" si="4"/>
        <v>1.225</v>
      </c>
      <c r="M39" s="74">
        <v>2.5</v>
      </c>
      <c r="N39" s="98"/>
      <c r="O39" s="72">
        <f t="shared" si="14"/>
        <v>0</v>
      </c>
      <c r="P39" s="74"/>
      <c r="Q39" s="74"/>
      <c r="R39" s="74"/>
    </row>
    <row r="40" spans="1:18" ht="18">
      <c r="A40" s="9" t="s">
        <v>2</v>
      </c>
      <c r="B40" s="9">
        <v>0</v>
      </c>
      <c r="C40" s="87">
        <f aca="true" t="shared" si="17" ref="C40:H40">C36+C38+C39</f>
        <v>1613.2</v>
      </c>
      <c r="D40" s="87">
        <f t="shared" si="17"/>
        <v>219.2</v>
      </c>
      <c r="E40" s="87">
        <f t="shared" si="17"/>
        <v>1832.4</v>
      </c>
      <c r="F40" s="87">
        <f t="shared" si="17"/>
        <v>1197.9</v>
      </c>
      <c r="G40" s="87">
        <f t="shared" si="17"/>
        <v>1158.8</v>
      </c>
      <c r="H40" s="87">
        <f t="shared" si="17"/>
        <v>1369.1999999999998</v>
      </c>
      <c r="I40" s="88">
        <f t="shared" si="1"/>
        <v>0.7472167648984936</v>
      </c>
      <c r="J40" s="88">
        <f t="shared" si="5"/>
        <v>1.1430002504382668</v>
      </c>
      <c r="K40" s="87">
        <f>K36+K38+K39</f>
        <v>1076.8999999999999</v>
      </c>
      <c r="L40" s="88">
        <f t="shared" si="4"/>
        <v>1.271427244869533</v>
      </c>
      <c r="M40" s="97">
        <f>M36+M38+M39</f>
        <v>210.4</v>
      </c>
      <c r="N40" s="87">
        <f>N36+N38+N39</f>
        <v>174.8</v>
      </c>
      <c r="O40" s="88">
        <f t="shared" si="14"/>
        <v>1.2036613272311212</v>
      </c>
      <c r="P40" s="87">
        <f>P36+P38</f>
        <v>20.1</v>
      </c>
      <c r="Q40" s="87">
        <f>Q36+Q38</f>
        <v>15.799999999999999</v>
      </c>
      <c r="R40" s="87">
        <f>R36+R38</f>
        <v>15.399999999999999</v>
      </c>
    </row>
  </sheetData>
  <sheetProtection/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7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1.25390625" style="0" customWidth="1"/>
    <col min="4" max="4" width="9.25390625" style="0" bestFit="1" customWidth="1"/>
    <col min="5" max="5" width="11.875" style="0" customWidth="1"/>
    <col min="6" max="6" width="9.875" style="0" customWidth="1"/>
    <col min="7" max="7" width="10.25390625" style="0" customWidth="1"/>
    <col min="8" max="8" width="11.25390625" style="0" customWidth="1"/>
    <col min="9" max="9" width="12.25390625" style="0" customWidth="1"/>
    <col min="10" max="10" width="11.00390625" style="0" customWidth="1"/>
    <col min="11" max="11" width="10.375" style="0" customWidth="1"/>
    <col min="12" max="12" width="12.375" style="0" customWidth="1"/>
    <col min="13" max="13" width="11.00390625" style="0" customWidth="1"/>
    <col min="14" max="14" width="9.625" style="0" customWidth="1"/>
    <col min="15" max="15" width="12.25390625" style="0" customWidth="1"/>
    <col min="16" max="16" width="10.625" style="0" customWidth="1"/>
    <col min="17" max="18" width="9.625" style="0" customWidth="1"/>
  </cols>
  <sheetData>
    <row r="1" spans="1:18" ht="15.75">
      <c r="A1" s="26"/>
      <c r="B1" s="48"/>
      <c r="C1" s="138" t="s">
        <v>13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49"/>
      <c r="O1" s="49"/>
      <c r="P1" s="26"/>
      <c r="Q1" s="26"/>
      <c r="R1" s="26"/>
    </row>
    <row r="2" spans="1:18" ht="15.75">
      <c r="A2" s="26"/>
      <c r="B2" s="149" t="s">
        <v>123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3.5" customHeight="1">
      <c r="A3" s="136" t="s">
        <v>4</v>
      </c>
      <c r="B3" s="136" t="s">
        <v>6</v>
      </c>
      <c r="C3" s="140" t="s">
        <v>58</v>
      </c>
      <c r="D3" s="140" t="s">
        <v>29</v>
      </c>
      <c r="E3" s="142" t="s">
        <v>59</v>
      </c>
      <c r="F3" s="136" t="s">
        <v>109</v>
      </c>
      <c r="G3" s="136" t="s">
        <v>110</v>
      </c>
      <c r="H3" s="136" t="s">
        <v>60</v>
      </c>
      <c r="I3" s="136"/>
      <c r="J3" s="136"/>
      <c r="K3" s="136" t="s">
        <v>57</v>
      </c>
      <c r="L3" s="136"/>
      <c r="M3" s="136" t="s">
        <v>115</v>
      </c>
      <c r="N3" s="136" t="s">
        <v>116</v>
      </c>
      <c r="O3" s="141" t="s">
        <v>23</v>
      </c>
      <c r="P3" s="141" t="s">
        <v>11</v>
      </c>
      <c r="Q3" s="141"/>
      <c r="R3" s="141"/>
    </row>
    <row r="4" spans="1:18" ht="93.75" customHeight="1">
      <c r="A4" s="147"/>
      <c r="B4" s="147"/>
      <c r="C4" s="144"/>
      <c r="D4" s="144"/>
      <c r="E4" s="148"/>
      <c r="F4" s="136"/>
      <c r="G4" s="136"/>
      <c r="H4" s="47" t="s">
        <v>114</v>
      </c>
      <c r="I4" s="47" t="s">
        <v>12</v>
      </c>
      <c r="J4" s="47" t="s">
        <v>34</v>
      </c>
      <c r="K4" s="47" t="s">
        <v>114</v>
      </c>
      <c r="L4" s="47" t="s">
        <v>35</v>
      </c>
      <c r="M4" s="136"/>
      <c r="N4" s="136"/>
      <c r="O4" s="141"/>
      <c r="P4" s="133" t="s">
        <v>61</v>
      </c>
      <c r="Q4" s="134" t="s">
        <v>112</v>
      </c>
      <c r="R4" s="134" t="s">
        <v>120</v>
      </c>
    </row>
    <row r="5" spans="1:18" ht="19.5" customHeight="1">
      <c r="A5" s="29" t="s">
        <v>26</v>
      </c>
      <c r="B5" s="29"/>
      <c r="C5" s="99">
        <f aca="true" t="shared" si="0" ref="C5:H5">C6+C16+C18+C23+C24+C11</f>
        <v>1230.4</v>
      </c>
      <c r="D5" s="99">
        <f t="shared" si="0"/>
        <v>5.5</v>
      </c>
      <c r="E5" s="99">
        <f t="shared" si="0"/>
        <v>1235.9</v>
      </c>
      <c r="F5" s="99">
        <f t="shared" si="0"/>
        <v>245.6</v>
      </c>
      <c r="G5" s="99">
        <f t="shared" si="0"/>
        <v>691</v>
      </c>
      <c r="H5" s="99">
        <f t="shared" si="0"/>
        <v>779.3</v>
      </c>
      <c r="I5" s="100">
        <f aca="true" t="shared" si="1" ref="I5:I41">IF(E5&gt;0,H5/E5,0)</f>
        <v>0.6305526337082288</v>
      </c>
      <c r="J5" s="100">
        <f>IF(F5&gt;0,H5/F5,0)</f>
        <v>3.173045602605863</v>
      </c>
      <c r="K5" s="99">
        <f>K6+K16+K18+K23+K24+K11</f>
        <v>407.8</v>
      </c>
      <c r="L5" s="100">
        <f>IF(K5&gt;0,H5/K5,0)</f>
        <v>1.9109857773418342</v>
      </c>
      <c r="M5" s="99">
        <f>M6+M16+M18+M23+M24+M11</f>
        <v>88.30000000000001</v>
      </c>
      <c r="N5" s="99">
        <f>N6+N16+N18+N23+N24+N11</f>
        <v>46.400000000000006</v>
      </c>
      <c r="O5" s="100">
        <f aca="true" t="shared" si="2" ref="O5:O34">IF(N5&gt;0,M5/N5,0)</f>
        <v>1.9030172413793103</v>
      </c>
      <c r="P5" s="99">
        <f>P6+P16+P18+P23+P24+P11</f>
        <v>37</v>
      </c>
      <c r="Q5" s="99">
        <f>Q6+Q16+Q18+Q23+Q24+Q11</f>
        <v>35.4</v>
      </c>
      <c r="R5" s="99">
        <f>R6+R16+R18+R23+R24+R11</f>
        <v>34.300000000000004</v>
      </c>
    </row>
    <row r="6" spans="1:18" ht="18">
      <c r="A6" s="9" t="s">
        <v>77</v>
      </c>
      <c r="B6" s="30">
        <v>1010200001</v>
      </c>
      <c r="C6" s="75">
        <f aca="true" t="shared" si="3" ref="C6:H6">C7+C8+C9+C10</f>
        <v>556.5</v>
      </c>
      <c r="D6" s="75">
        <f t="shared" si="3"/>
        <v>5.5</v>
      </c>
      <c r="E6" s="75">
        <f t="shared" si="3"/>
        <v>562</v>
      </c>
      <c r="F6" s="75">
        <f t="shared" si="3"/>
        <v>102.6</v>
      </c>
      <c r="G6" s="75">
        <f t="shared" si="3"/>
        <v>278</v>
      </c>
      <c r="H6" s="75">
        <f t="shared" si="3"/>
        <v>316.6</v>
      </c>
      <c r="I6" s="96">
        <f t="shared" si="1"/>
        <v>0.5633451957295375</v>
      </c>
      <c r="J6" s="96">
        <f>IF(F6&gt;0,H6/F6,0)</f>
        <v>3.085769980506823</v>
      </c>
      <c r="K6" s="75">
        <f>K7+K8+K9+K10</f>
        <v>300.6</v>
      </c>
      <c r="L6" s="96">
        <f aca="true" t="shared" si="4" ref="L6:L41">IF(K6&gt;0,H6/K6,0)</f>
        <v>1.053226879574185</v>
      </c>
      <c r="M6" s="75">
        <f>M7+M8+M9+M10</f>
        <v>38.6</v>
      </c>
      <c r="N6" s="75">
        <f>N7+N8+N9+N10</f>
        <v>30.5</v>
      </c>
      <c r="O6" s="96">
        <f t="shared" si="2"/>
        <v>1.2655737704918033</v>
      </c>
      <c r="P6" s="75">
        <f>P7+P8+P9+P10</f>
        <v>0.5</v>
      </c>
      <c r="Q6" s="75">
        <f>Q7+Q8+Q9+Q10</f>
        <v>0.5</v>
      </c>
      <c r="R6" s="75">
        <f>R7+R8+R9+R10</f>
        <v>0</v>
      </c>
    </row>
    <row r="7" spans="1:18" ht="18" customHeight="1">
      <c r="A7" s="10" t="s">
        <v>53</v>
      </c>
      <c r="B7" s="13">
        <v>1010201001</v>
      </c>
      <c r="C7" s="74">
        <v>546.1</v>
      </c>
      <c r="D7" s="70">
        <f>50-36.9+90-97.6</f>
        <v>5.5</v>
      </c>
      <c r="E7" s="74">
        <f>C7+D7</f>
        <v>551.6</v>
      </c>
      <c r="F7" s="74">
        <f>100</f>
        <v>100</v>
      </c>
      <c r="G7" s="70">
        <v>277.1</v>
      </c>
      <c r="H7" s="70">
        <f>G7+M7</f>
        <v>315.6</v>
      </c>
      <c r="I7" s="85">
        <f t="shared" si="1"/>
        <v>0.5721537345902828</v>
      </c>
      <c r="J7" s="85">
        <f aca="true" t="shared" si="5" ref="J7:J41">IF(F7&gt;0,H7/F7,0)</f>
        <v>3.156</v>
      </c>
      <c r="K7" s="83">
        <v>298.3</v>
      </c>
      <c r="L7" s="85">
        <f t="shared" si="4"/>
        <v>1.057995306738183</v>
      </c>
      <c r="M7" s="70">
        <v>38.5</v>
      </c>
      <c r="N7" s="83">
        <v>30.5</v>
      </c>
      <c r="O7" s="85">
        <f t="shared" si="2"/>
        <v>1.2622950819672132</v>
      </c>
      <c r="P7" s="74">
        <v>0.5</v>
      </c>
      <c r="Q7" s="74">
        <v>0.5</v>
      </c>
      <c r="R7" s="74"/>
    </row>
    <row r="8" spans="1:18" ht="15" customHeight="1">
      <c r="A8" s="10" t="s">
        <v>52</v>
      </c>
      <c r="B8" s="13">
        <v>1010202001</v>
      </c>
      <c r="C8" s="74"/>
      <c r="D8" s="70"/>
      <c r="E8" s="74">
        <f>C8+D8</f>
        <v>0</v>
      </c>
      <c r="F8" s="74"/>
      <c r="G8" s="74"/>
      <c r="H8" s="70">
        <f>G8+M8</f>
        <v>0</v>
      </c>
      <c r="I8" s="85">
        <f t="shared" si="1"/>
        <v>0</v>
      </c>
      <c r="J8" s="85">
        <f t="shared" si="5"/>
        <v>0</v>
      </c>
      <c r="K8" s="83"/>
      <c r="L8" s="85">
        <f>IF(K8&gt;0,H8/K8,0)</f>
        <v>0</v>
      </c>
      <c r="M8" s="74"/>
      <c r="N8" s="83"/>
      <c r="O8" s="85">
        <f>IF(N8&gt;0,M8/N8,0)</f>
        <v>0</v>
      </c>
      <c r="P8" s="74"/>
      <c r="Q8" s="74"/>
      <c r="R8" s="74"/>
    </row>
    <row r="9" spans="1:18" ht="18" customHeight="1">
      <c r="A9" s="10" t="s">
        <v>50</v>
      </c>
      <c r="B9" s="13">
        <v>1010203001</v>
      </c>
      <c r="C9" s="74">
        <v>10.4</v>
      </c>
      <c r="D9" s="74"/>
      <c r="E9" s="74">
        <f>C9+D9</f>
        <v>10.4</v>
      </c>
      <c r="F9" s="74">
        <f>2.6</f>
        <v>2.6</v>
      </c>
      <c r="G9" s="74">
        <v>0.9</v>
      </c>
      <c r="H9" s="70">
        <f>G9+M9</f>
        <v>1</v>
      </c>
      <c r="I9" s="85">
        <f t="shared" si="1"/>
        <v>0.09615384615384615</v>
      </c>
      <c r="J9" s="85">
        <f t="shared" si="5"/>
        <v>0.3846153846153846</v>
      </c>
      <c r="K9" s="83">
        <v>2.3</v>
      </c>
      <c r="L9" s="85">
        <f t="shared" si="4"/>
        <v>0.4347826086956522</v>
      </c>
      <c r="M9" s="74">
        <v>0.1</v>
      </c>
      <c r="N9" s="83"/>
      <c r="O9" s="85">
        <f t="shared" si="2"/>
        <v>0</v>
      </c>
      <c r="P9" s="74"/>
      <c r="Q9" s="74"/>
      <c r="R9" s="74"/>
    </row>
    <row r="10" spans="1:18" ht="14.25" customHeight="1" hidden="1">
      <c r="A10" s="10" t="s">
        <v>51</v>
      </c>
      <c r="B10" s="13">
        <v>1010204001</v>
      </c>
      <c r="C10" s="74"/>
      <c r="D10" s="74"/>
      <c r="E10" s="74">
        <f>C10+D10</f>
        <v>0</v>
      </c>
      <c r="F10" s="74"/>
      <c r="G10" s="74"/>
      <c r="H10" s="70">
        <f>G10+M10</f>
        <v>0</v>
      </c>
      <c r="I10" s="85">
        <f t="shared" si="1"/>
        <v>0</v>
      </c>
      <c r="J10" s="85">
        <f t="shared" si="5"/>
        <v>0</v>
      </c>
      <c r="K10" s="83"/>
      <c r="L10" s="85">
        <f t="shared" si="4"/>
        <v>0</v>
      </c>
      <c r="M10" s="74"/>
      <c r="N10" s="83"/>
      <c r="O10" s="85">
        <f t="shared" si="2"/>
        <v>0</v>
      </c>
      <c r="P10" s="74"/>
      <c r="Q10" s="74"/>
      <c r="R10" s="74"/>
    </row>
    <row r="11" spans="1:18" ht="18" customHeight="1">
      <c r="A11" s="11" t="s">
        <v>62</v>
      </c>
      <c r="B11" s="19">
        <v>1030200001</v>
      </c>
      <c r="C11" s="75">
        <f aca="true" t="shared" si="6" ref="C11:H11">SUM(C12:C15)</f>
        <v>572.3</v>
      </c>
      <c r="D11" s="75">
        <f t="shared" si="6"/>
        <v>0</v>
      </c>
      <c r="E11" s="75">
        <f t="shared" si="6"/>
        <v>572.3</v>
      </c>
      <c r="F11" s="75">
        <f>142</f>
        <v>142</v>
      </c>
      <c r="G11" s="75">
        <f>SUM(G12:G15)</f>
        <v>309.1</v>
      </c>
      <c r="H11" s="75">
        <f t="shared" si="6"/>
        <v>344.99999999999994</v>
      </c>
      <c r="I11" s="68">
        <f t="shared" si="1"/>
        <v>0.6028306832081076</v>
      </c>
      <c r="J11" s="68">
        <f>IF(F11&gt;0,H11/F11,0)</f>
        <v>2.429577464788732</v>
      </c>
      <c r="K11" s="75">
        <f>SUM(K12:K15)</f>
        <v>0</v>
      </c>
      <c r="L11" s="68">
        <f t="shared" si="4"/>
        <v>0</v>
      </c>
      <c r="M11" s="75">
        <f>SUM(M12:M15)</f>
        <v>35.900000000000006</v>
      </c>
      <c r="N11" s="75">
        <f>SUM(N12:N15)</f>
        <v>0</v>
      </c>
      <c r="O11" s="68">
        <f t="shared" si="2"/>
        <v>0</v>
      </c>
      <c r="P11" s="75">
        <f>SUM(P12:P15)</f>
        <v>0</v>
      </c>
      <c r="Q11" s="75">
        <f>SUM(Q12:Q15)</f>
        <v>0</v>
      </c>
      <c r="R11" s="75">
        <f>SUM(R12:R15)</f>
        <v>0</v>
      </c>
    </row>
    <row r="12" spans="1:18" ht="19.5" customHeight="1">
      <c r="A12" s="12" t="s">
        <v>63</v>
      </c>
      <c r="B12" s="12">
        <v>1030223001</v>
      </c>
      <c r="C12" s="74">
        <v>242.7</v>
      </c>
      <c r="D12" s="74"/>
      <c r="E12" s="69">
        <f>C12+D12</f>
        <v>242.7</v>
      </c>
      <c r="F12" s="69"/>
      <c r="G12" s="74">
        <v>119.2</v>
      </c>
      <c r="H12" s="71">
        <f>G12+M12</f>
        <v>131</v>
      </c>
      <c r="I12" s="72">
        <f t="shared" si="1"/>
        <v>0.5397610218376597</v>
      </c>
      <c r="J12" s="72"/>
      <c r="K12" s="73"/>
      <c r="L12" s="72">
        <f t="shared" si="4"/>
        <v>0</v>
      </c>
      <c r="M12" s="74">
        <v>11.8</v>
      </c>
      <c r="N12" s="73"/>
      <c r="O12" s="72">
        <f t="shared" si="2"/>
        <v>0</v>
      </c>
      <c r="P12" s="74"/>
      <c r="Q12" s="74"/>
      <c r="R12" s="74"/>
    </row>
    <row r="13" spans="1:18" ht="17.25" customHeight="1">
      <c r="A13" s="12" t="s">
        <v>64</v>
      </c>
      <c r="B13" s="12">
        <v>1030224001</v>
      </c>
      <c r="C13" s="74">
        <v>4</v>
      </c>
      <c r="D13" s="74"/>
      <c r="E13" s="69">
        <f>C13+D13</f>
        <v>4</v>
      </c>
      <c r="F13" s="69"/>
      <c r="G13" s="74">
        <v>2.4</v>
      </c>
      <c r="H13" s="71">
        <f>G13+M13</f>
        <v>2.6999999999999997</v>
      </c>
      <c r="I13" s="72">
        <f t="shared" si="1"/>
        <v>0.6749999999999999</v>
      </c>
      <c r="J13" s="72"/>
      <c r="K13" s="73"/>
      <c r="L13" s="72">
        <f t="shared" si="4"/>
        <v>0</v>
      </c>
      <c r="M13" s="74">
        <v>0.3</v>
      </c>
      <c r="N13" s="73"/>
      <c r="O13" s="72">
        <f t="shared" si="2"/>
        <v>0</v>
      </c>
      <c r="P13" s="74"/>
      <c r="Q13" s="74"/>
      <c r="R13" s="74"/>
    </row>
    <row r="14" spans="1:18" ht="18" customHeight="1">
      <c r="A14" s="12" t="s">
        <v>106</v>
      </c>
      <c r="B14" s="12">
        <v>1030225001</v>
      </c>
      <c r="C14" s="74">
        <v>309.6</v>
      </c>
      <c r="D14" s="74"/>
      <c r="E14" s="69">
        <f>C14+D14</f>
        <v>309.6</v>
      </c>
      <c r="F14" s="69"/>
      <c r="G14" s="74">
        <v>188.5</v>
      </c>
      <c r="H14" s="71">
        <f>G14+M14</f>
        <v>215.1</v>
      </c>
      <c r="I14" s="72">
        <f t="shared" si="1"/>
        <v>0.694767441860465</v>
      </c>
      <c r="J14" s="72"/>
      <c r="K14" s="73"/>
      <c r="L14" s="72">
        <f t="shared" si="4"/>
        <v>0</v>
      </c>
      <c r="M14" s="74">
        <v>26.6</v>
      </c>
      <c r="N14" s="73"/>
      <c r="O14" s="72">
        <f t="shared" si="2"/>
        <v>0</v>
      </c>
      <c r="P14" s="74"/>
      <c r="Q14" s="74"/>
      <c r="R14" s="74"/>
    </row>
    <row r="15" spans="1:18" ht="17.25" customHeight="1">
      <c r="A15" s="12" t="s">
        <v>66</v>
      </c>
      <c r="B15" s="12">
        <v>1030226001</v>
      </c>
      <c r="C15" s="74">
        <v>16</v>
      </c>
      <c r="D15" s="74"/>
      <c r="E15" s="69">
        <f>C15+D15</f>
        <v>16</v>
      </c>
      <c r="F15" s="69"/>
      <c r="G15" s="74">
        <v>-1</v>
      </c>
      <c r="H15" s="71">
        <f>G15+M15</f>
        <v>-3.8</v>
      </c>
      <c r="I15" s="72">
        <f t="shared" si="1"/>
        <v>-0.2375</v>
      </c>
      <c r="J15" s="72"/>
      <c r="K15" s="73"/>
      <c r="L15" s="72">
        <f t="shared" si="4"/>
        <v>0</v>
      </c>
      <c r="M15" s="74">
        <v>-2.8</v>
      </c>
      <c r="N15" s="73"/>
      <c r="O15" s="72">
        <f t="shared" si="2"/>
        <v>0</v>
      </c>
      <c r="P15" s="74"/>
      <c r="Q15" s="74"/>
      <c r="R15" s="74"/>
    </row>
    <row r="16" spans="1:18" ht="18">
      <c r="A16" s="9" t="s">
        <v>84</v>
      </c>
      <c r="B16" s="30">
        <v>1050000000</v>
      </c>
      <c r="C16" s="75">
        <f aca="true" t="shared" si="7" ref="C16:H16">C17</f>
        <v>0</v>
      </c>
      <c r="D16" s="76">
        <f t="shared" si="7"/>
        <v>0</v>
      </c>
      <c r="E16" s="76">
        <f t="shared" si="7"/>
        <v>0</v>
      </c>
      <c r="F16" s="76">
        <f t="shared" si="7"/>
        <v>0</v>
      </c>
      <c r="G16" s="75">
        <f>G17</f>
        <v>0</v>
      </c>
      <c r="H16" s="76">
        <f t="shared" si="7"/>
        <v>0</v>
      </c>
      <c r="I16" s="96">
        <f t="shared" si="1"/>
        <v>0</v>
      </c>
      <c r="J16" s="96">
        <f t="shared" si="5"/>
        <v>0</v>
      </c>
      <c r="K16" s="76">
        <f>K17</f>
        <v>0</v>
      </c>
      <c r="L16" s="96">
        <f t="shared" si="4"/>
        <v>0</v>
      </c>
      <c r="M16" s="75">
        <f>M17</f>
        <v>0</v>
      </c>
      <c r="N16" s="76">
        <f>N17</f>
        <v>0</v>
      </c>
      <c r="O16" s="96">
        <f t="shared" si="2"/>
        <v>0</v>
      </c>
      <c r="P16" s="75">
        <f>P17</f>
        <v>0</v>
      </c>
      <c r="Q16" s="75">
        <f>Q17</f>
        <v>0</v>
      </c>
      <c r="R16" s="75">
        <f>R17</f>
        <v>0</v>
      </c>
    </row>
    <row r="17" spans="1:18" ht="18">
      <c r="A17" s="13" t="s">
        <v>9</v>
      </c>
      <c r="B17" s="13">
        <v>1050300001</v>
      </c>
      <c r="C17" s="74"/>
      <c r="D17" s="70"/>
      <c r="E17" s="74">
        <f>C17+D17</f>
        <v>0</v>
      </c>
      <c r="F17" s="74"/>
      <c r="G17" s="74"/>
      <c r="H17" s="70">
        <f>G17+M17</f>
        <v>0</v>
      </c>
      <c r="I17" s="85">
        <f t="shared" si="1"/>
        <v>0</v>
      </c>
      <c r="J17" s="85">
        <f t="shared" si="5"/>
        <v>0</v>
      </c>
      <c r="K17" s="83"/>
      <c r="L17" s="85">
        <f t="shared" si="4"/>
        <v>0</v>
      </c>
      <c r="M17" s="74"/>
      <c r="N17" s="83"/>
      <c r="O17" s="85">
        <f t="shared" si="2"/>
        <v>0</v>
      </c>
      <c r="P17" s="74"/>
      <c r="Q17" s="74"/>
      <c r="R17" s="74"/>
    </row>
    <row r="18" spans="1:18" ht="18">
      <c r="A18" s="9" t="s">
        <v>85</v>
      </c>
      <c r="B18" s="30">
        <v>1060000000</v>
      </c>
      <c r="C18" s="75">
        <f aca="true" t="shared" si="8" ref="C18:H18">C19+C22</f>
        <v>96.6</v>
      </c>
      <c r="D18" s="76">
        <f t="shared" si="8"/>
        <v>0</v>
      </c>
      <c r="E18" s="76">
        <f t="shared" si="8"/>
        <v>96.6</v>
      </c>
      <c r="F18" s="76">
        <f t="shared" si="8"/>
        <v>0</v>
      </c>
      <c r="G18" s="75">
        <f>G19+G22</f>
        <v>99.8</v>
      </c>
      <c r="H18" s="76">
        <f t="shared" si="8"/>
        <v>113.2</v>
      </c>
      <c r="I18" s="96">
        <f t="shared" si="1"/>
        <v>1.1718426501035197</v>
      </c>
      <c r="J18" s="96">
        <f t="shared" si="5"/>
        <v>0</v>
      </c>
      <c r="K18" s="76">
        <f>K19+K22</f>
        <v>100.3</v>
      </c>
      <c r="L18" s="96">
        <f t="shared" si="4"/>
        <v>1.1286141575274178</v>
      </c>
      <c r="M18" s="75">
        <f>M19+M22</f>
        <v>13.4</v>
      </c>
      <c r="N18" s="76">
        <f>N19+N22</f>
        <v>15.200000000000001</v>
      </c>
      <c r="O18" s="96">
        <f t="shared" si="2"/>
        <v>0.881578947368421</v>
      </c>
      <c r="P18" s="75">
        <f>P19+P22</f>
        <v>36.5</v>
      </c>
      <c r="Q18" s="75">
        <f>Q19+Q22</f>
        <v>34.9</v>
      </c>
      <c r="R18" s="75">
        <f>R19+R22</f>
        <v>34.300000000000004</v>
      </c>
    </row>
    <row r="19" spans="1:18" ht="18">
      <c r="A19" s="13" t="s">
        <v>15</v>
      </c>
      <c r="B19" s="13">
        <v>1060600000</v>
      </c>
      <c r="C19" s="74">
        <f aca="true" t="shared" si="9" ref="C19:H19">C20+C21</f>
        <v>75.1</v>
      </c>
      <c r="D19" s="70">
        <f t="shared" si="9"/>
        <v>0</v>
      </c>
      <c r="E19" s="70">
        <f t="shared" si="9"/>
        <v>75.1</v>
      </c>
      <c r="F19" s="70">
        <f t="shared" si="9"/>
        <v>0</v>
      </c>
      <c r="G19" s="74">
        <f>G20+G21</f>
        <v>89.6</v>
      </c>
      <c r="H19" s="70">
        <f t="shared" si="9"/>
        <v>99.9</v>
      </c>
      <c r="I19" s="85">
        <f t="shared" si="1"/>
        <v>1.330226364846871</v>
      </c>
      <c r="J19" s="85">
        <f t="shared" si="5"/>
        <v>0</v>
      </c>
      <c r="K19" s="78">
        <f>K20+K21</f>
        <v>89.2</v>
      </c>
      <c r="L19" s="85">
        <f t="shared" si="4"/>
        <v>1.1199551569506727</v>
      </c>
      <c r="M19" s="74">
        <f>M20+M21</f>
        <v>10.3</v>
      </c>
      <c r="N19" s="78">
        <f>N20+N21</f>
        <v>12.200000000000001</v>
      </c>
      <c r="O19" s="85">
        <f t="shared" si="2"/>
        <v>0.8442622950819672</v>
      </c>
      <c r="P19" s="74">
        <f>P20+P21</f>
        <v>32</v>
      </c>
      <c r="Q19" s="74">
        <f>Q20+Q21</f>
        <v>31.6</v>
      </c>
      <c r="R19" s="74">
        <f>R20+R21</f>
        <v>31.200000000000003</v>
      </c>
    </row>
    <row r="20" spans="1:18" ht="18">
      <c r="A20" s="13" t="s">
        <v>16</v>
      </c>
      <c r="B20" s="13">
        <v>1060601310</v>
      </c>
      <c r="C20" s="74">
        <v>72.3</v>
      </c>
      <c r="D20" s="70"/>
      <c r="E20" s="74">
        <f>C20+D20</f>
        <v>72.3</v>
      </c>
      <c r="F20" s="74"/>
      <c r="G20" s="74">
        <v>40.5</v>
      </c>
      <c r="H20" s="70">
        <f>G20+M20</f>
        <v>50.8</v>
      </c>
      <c r="I20" s="85">
        <f t="shared" si="1"/>
        <v>0.7026279391424619</v>
      </c>
      <c r="J20" s="85">
        <f t="shared" si="5"/>
        <v>0</v>
      </c>
      <c r="K20" s="83">
        <v>87.2</v>
      </c>
      <c r="L20" s="85">
        <f t="shared" si="4"/>
        <v>0.5825688073394495</v>
      </c>
      <c r="M20" s="74">
        <v>10.3</v>
      </c>
      <c r="N20" s="83">
        <v>11.8</v>
      </c>
      <c r="O20" s="85">
        <f t="shared" si="2"/>
        <v>0.8728813559322034</v>
      </c>
      <c r="P20" s="74">
        <v>24</v>
      </c>
      <c r="Q20" s="74">
        <v>19.5</v>
      </c>
      <c r="R20" s="74">
        <v>19.1</v>
      </c>
    </row>
    <row r="21" spans="1:18" ht="18">
      <c r="A21" s="13" t="s">
        <v>16</v>
      </c>
      <c r="B21" s="13">
        <v>1060602310</v>
      </c>
      <c r="C21" s="74">
        <v>2.8</v>
      </c>
      <c r="D21" s="70"/>
      <c r="E21" s="74">
        <f>C21+D21</f>
        <v>2.8</v>
      </c>
      <c r="F21" s="74"/>
      <c r="G21" s="74">
        <v>49.1</v>
      </c>
      <c r="H21" s="70">
        <f>G21+M21</f>
        <v>49.1</v>
      </c>
      <c r="I21" s="85">
        <f t="shared" si="1"/>
        <v>17.53571428571429</v>
      </c>
      <c r="J21" s="85">
        <f t="shared" si="5"/>
        <v>0</v>
      </c>
      <c r="K21" s="83">
        <v>2</v>
      </c>
      <c r="L21" s="85">
        <f t="shared" si="4"/>
        <v>24.55</v>
      </c>
      <c r="M21" s="74"/>
      <c r="N21" s="83">
        <v>0.4</v>
      </c>
      <c r="O21" s="85">
        <f t="shared" si="2"/>
        <v>0</v>
      </c>
      <c r="P21" s="74">
        <v>8</v>
      </c>
      <c r="Q21" s="74">
        <v>12.1</v>
      </c>
      <c r="R21" s="74">
        <v>12.1</v>
      </c>
    </row>
    <row r="22" spans="1:18" ht="18">
      <c r="A22" s="13" t="s">
        <v>14</v>
      </c>
      <c r="B22" s="13">
        <v>1060103010</v>
      </c>
      <c r="C22" s="74">
        <v>21.5</v>
      </c>
      <c r="D22" s="70"/>
      <c r="E22" s="74">
        <f>C22+D22</f>
        <v>21.5</v>
      </c>
      <c r="F22" s="74"/>
      <c r="G22" s="74">
        <v>10.2</v>
      </c>
      <c r="H22" s="70">
        <f>G22+M22</f>
        <v>13.299999999999999</v>
      </c>
      <c r="I22" s="85">
        <f t="shared" si="1"/>
        <v>0.6186046511627906</v>
      </c>
      <c r="J22" s="85">
        <f t="shared" si="5"/>
        <v>0</v>
      </c>
      <c r="K22" s="83">
        <v>11.1</v>
      </c>
      <c r="L22" s="85">
        <f t="shared" si="4"/>
        <v>1.1981981981981982</v>
      </c>
      <c r="M22" s="74">
        <v>3.1</v>
      </c>
      <c r="N22" s="83">
        <v>3</v>
      </c>
      <c r="O22" s="85">
        <f t="shared" si="2"/>
        <v>1.0333333333333334</v>
      </c>
      <c r="P22" s="74">
        <v>4.5</v>
      </c>
      <c r="Q22" s="74">
        <v>3.3</v>
      </c>
      <c r="R22" s="74">
        <v>3.1</v>
      </c>
    </row>
    <row r="23" spans="1:18" ht="18">
      <c r="A23" s="9" t="s">
        <v>86</v>
      </c>
      <c r="B23" s="30">
        <v>1080402001</v>
      </c>
      <c r="C23" s="75">
        <v>5</v>
      </c>
      <c r="D23" s="76"/>
      <c r="E23" s="75">
        <f>C23+D23</f>
        <v>5</v>
      </c>
      <c r="F23" s="75">
        <f>1</f>
        <v>1</v>
      </c>
      <c r="G23" s="75">
        <v>4.1</v>
      </c>
      <c r="H23" s="76">
        <f>G23+M23</f>
        <v>4.5</v>
      </c>
      <c r="I23" s="96">
        <f t="shared" si="1"/>
        <v>0.9</v>
      </c>
      <c r="J23" s="96">
        <f t="shared" si="5"/>
        <v>4.5</v>
      </c>
      <c r="K23" s="84">
        <v>6.9</v>
      </c>
      <c r="L23" s="96">
        <f t="shared" si="4"/>
        <v>0.6521739130434783</v>
      </c>
      <c r="M23" s="75">
        <v>0.4</v>
      </c>
      <c r="N23" s="84">
        <v>0.7</v>
      </c>
      <c r="O23" s="96">
        <f t="shared" si="2"/>
        <v>0.5714285714285715</v>
      </c>
      <c r="P23" s="75"/>
      <c r="Q23" s="75"/>
      <c r="R23" s="75"/>
    </row>
    <row r="24" spans="1:18" ht="18">
      <c r="A24" s="9" t="s">
        <v>87</v>
      </c>
      <c r="B24" s="30">
        <v>1090405010</v>
      </c>
      <c r="C24" s="75"/>
      <c r="D24" s="75"/>
      <c r="E24" s="75">
        <f>C24+D24</f>
        <v>0</v>
      </c>
      <c r="F24" s="75"/>
      <c r="G24" s="75"/>
      <c r="H24" s="76">
        <f>G24+M24</f>
        <v>0</v>
      </c>
      <c r="I24" s="96">
        <f t="shared" si="1"/>
        <v>0</v>
      </c>
      <c r="J24" s="96">
        <f t="shared" si="5"/>
        <v>0</v>
      </c>
      <c r="K24" s="84"/>
      <c r="L24" s="96">
        <f t="shared" si="4"/>
        <v>0</v>
      </c>
      <c r="M24" s="75"/>
      <c r="N24" s="84"/>
      <c r="O24" s="96">
        <f t="shared" si="2"/>
        <v>0</v>
      </c>
      <c r="P24" s="75"/>
      <c r="Q24" s="75"/>
      <c r="R24" s="75"/>
    </row>
    <row r="25" spans="1:18" ht="18">
      <c r="A25" s="32" t="s">
        <v>27</v>
      </c>
      <c r="B25" s="32"/>
      <c r="C25" s="95">
        <f aca="true" t="shared" si="10" ref="C25:H25">C26+C30+C34+C32+C33+C31</f>
        <v>168.89999999999998</v>
      </c>
      <c r="D25" s="95">
        <f t="shared" si="10"/>
        <v>0</v>
      </c>
      <c r="E25" s="95">
        <f t="shared" si="10"/>
        <v>168.89999999999998</v>
      </c>
      <c r="F25" s="95">
        <f t="shared" si="10"/>
        <v>30</v>
      </c>
      <c r="G25" s="95">
        <f>G26+G30+G34+G32+G33+G31</f>
        <v>109.2</v>
      </c>
      <c r="H25" s="95">
        <f t="shared" si="10"/>
        <v>136.79999999999998</v>
      </c>
      <c r="I25" s="100">
        <f t="shared" si="1"/>
        <v>0.8099467140319716</v>
      </c>
      <c r="J25" s="100">
        <f t="shared" si="5"/>
        <v>4.56</v>
      </c>
      <c r="K25" s="95">
        <f>K26+K30+K34+K32+K33+K31</f>
        <v>127.2</v>
      </c>
      <c r="L25" s="100">
        <f t="shared" si="4"/>
        <v>1.0754716981132073</v>
      </c>
      <c r="M25" s="95">
        <f>M26+M30+M34+M32+M33+M31</f>
        <v>27.6</v>
      </c>
      <c r="N25" s="95">
        <f>N26+N30+N34+N32+N33+N31</f>
        <v>12</v>
      </c>
      <c r="O25" s="100">
        <f t="shared" si="2"/>
        <v>2.3000000000000003</v>
      </c>
      <c r="P25" s="81">
        <f>P26+P30+P33</f>
        <v>3.3</v>
      </c>
      <c r="Q25" s="81">
        <f>Q26+Q30+Q33</f>
        <v>3.3</v>
      </c>
      <c r="R25" s="81">
        <f>R26+R30+R33</f>
        <v>3.3</v>
      </c>
    </row>
    <row r="26" spans="1:18" ht="18">
      <c r="A26" s="9" t="s">
        <v>88</v>
      </c>
      <c r="B26" s="30">
        <v>1110000000</v>
      </c>
      <c r="C26" s="75">
        <f aca="true" t="shared" si="11" ref="C26:H26">C27+C29+C28</f>
        <v>110.1</v>
      </c>
      <c r="D26" s="75">
        <f t="shared" si="11"/>
        <v>0</v>
      </c>
      <c r="E26" s="75">
        <f t="shared" si="11"/>
        <v>110.1</v>
      </c>
      <c r="F26" s="75">
        <f t="shared" si="11"/>
        <v>16</v>
      </c>
      <c r="G26" s="75">
        <f>G27+G29+G28</f>
        <v>74.5</v>
      </c>
      <c r="H26" s="75">
        <f t="shared" si="11"/>
        <v>98.8</v>
      </c>
      <c r="I26" s="96">
        <f t="shared" si="1"/>
        <v>0.8973660308810173</v>
      </c>
      <c r="J26" s="96">
        <f t="shared" si="5"/>
        <v>6.175</v>
      </c>
      <c r="K26" s="75">
        <f>K27+K29+K28</f>
        <v>82.8</v>
      </c>
      <c r="L26" s="96">
        <f t="shared" si="4"/>
        <v>1.1932367149758454</v>
      </c>
      <c r="M26" s="75">
        <f>M27+M29+M28</f>
        <v>24.3</v>
      </c>
      <c r="N26" s="75">
        <f>N27+N29+N28</f>
        <v>7.5</v>
      </c>
      <c r="O26" s="96">
        <f t="shared" si="2"/>
        <v>3.24</v>
      </c>
      <c r="P26" s="75">
        <f>P27+P29+P28</f>
        <v>3.3</v>
      </c>
      <c r="Q26" s="75">
        <f>Q27+Q29+Q28</f>
        <v>3.3</v>
      </c>
      <c r="R26" s="75">
        <f>R27+R29+R28</f>
        <v>3.3</v>
      </c>
    </row>
    <row r="27" spans="1:18" ht="18">
      <c r="A27" s="13" t="s">
        <v>31</v>
      </c>
      <c r="B27" s="13">
        <v>1110501013</v>
      </c>
      <c r="C27" s="74">
        <v>42.9</v>
      </c>
      <c r="D27" s="70"/>
      <c r="E27" s="74">
        <f aca="true" t="shared" si="12" ref="E27:E33">C27+D27</f>
        <v>42.9</v>
      </c>
      <c r="F27" s="74"/>
      <c r="G27" s="74">
        <v>38.7</v>
      </c>
      <c r="H27" s="70">
        <f aca="true" t="shared" si="13" ref="H27:H33">G27+M27</f>
        <v>57.5</v>
      </c>
      <c r="I27" s="85">
        <f t="shared" si="1"/>
        <v>1.3403263403263403</v>
      </c>
      <c r="J27" s="85">
        <f t="shared" si="5"/>
        <v>0</v>
      </c>
      <c r="K27" s="70">
        <v>39.9</v>
      </c>
      <c r="L27" s="85">
        <f t="shared" si="4"/>
        <v>1.4411027568922306</v>
      </c>
      <c r="M27" s="74">
        <v>18.8</v>
      </c>
      <c r="N27" s="70">
        <v>6.8</v>
      </c>
      <c r="O27" s="85">
        <f t="shared" si="2"/>
        <v>2.7647058823529416</v>
      </c>
      <c r="P27" s="74">
        <v>3.3</v>
      </c>
      <c r="Q27" s="74">
        <v>3.3</v>
      </c>
      <c r="R27" s="74">
        <v>3.3</v>
      </c>
    </row>
    <row r="28" spans="1:18" ht="17.25" customHeight="1">
      <c r="A28" s="13" t="s">
        <v>32</v>
      </c>
      <c r="B28" s="13">
        <v>1110903510</v>
      </c>
      <c r="C28" s="74"/>
      <c r="D28" s="70"/>
      <c r="E28" s="74">
        <f t="shared" si="12"/>
        <v>0</v>
      </c>
      <c r="F28" s="74"/>
      <c r="G28" s="74">
        <v>1.1</v>
      </c>
      <c r="H28" s="70">
        <f t="shared" si="13"/>
        <v>1.1</v>
      </c>
      <c r="I28" s="85">
        <f t="shared" si="1"/>
        <v>0</v>
      </c>
      <c r="J28" s="85">
        <f t="shared" si="5"/>
        <v>0</v>
      </c>
      <c r="K28" s="83"/>
      <c r="L28" s="85">
        <f t="shared" si="4"/>
        <v>0</v>
      </c>
      <c r="M28" s="74"/>
      <c r="N28" s="83"/>
      <c r="O28" s="85">
        <f t="shared" si="2"/>
        <v>0</v>
      </c>
      <c r="P28" s="74"/>
      <c r="Q28" s="74"/>
      <c r="R28" s="74"/>
    </row>
    <row r="29" spans="1:18" ht="18">
      <c r="A29" s="33" t="s">
        <v>28</v>
      </c>
      <c r="B29" s="13">
        <v>1110904510</v>
      </c>
      <c r="C29" s="74">
        <v>67.2</v>
      </c>
      <c r="D29" s="70"/>
      <c r="E29" s="74">
        <f t="shared" si="12"/>
        <v>67.2</v>
      </c>
      <c r="F29" s="74">
        <f>16</f>
        <v>16</v>
      </c>
      <c r="G29" s="74">
        <v>34.7</v>
      </c>
      <c r="H29" s="70">
        <f t="shared" si="13"/>
        <v>40.2</v>
      </c>
      <c r="I29" s="85">
        <f t="shared" si="1"/>
        <v>0.5982142857142857</v>
      </c>
      <c r="J29" s="85">
        <f t="shared" si="5"/>
        <v>2.5125</v>
      </c>
      <c r="K29" s="83">
        <v>42.9</v>
      </c>
      <c r="L29" s="85">
        <f t="shared" si="4"/>
        <v>0.9370629370629372</v>
      </c>
      <c r="M29" s="74">
        <v>5.5</v>
      </c>
      <c r="N29" s="83">
        <v>0.7</v>
      </c>
      <c r="O29" s="85">
        <f t="shared" si="2"/>
        <v>7.857142857142858</v>
      </c>
      <c r="P29" s="74"/>
      <c r="Q29" s="74"/>
      <c r="R29" s="74"/>
    </row>
    <row r="30" spans="1:18" ht="18">
      <c r="A30" s="9" t="s">
        <v>46</v>
      </c>
      <c r="B30" s="30">
        <v>1130299510</v>
      </c>
      <c r="C30" s="75">
        <v>58.8</v>
      </c>
      <c r="D30" s="75"/>
      <c r="E30" s="75">
        <f t="shared" si="12"/>
        <v>58.8</v>
      </c>
      <c r="F30" s="75">
        <f>14</f>
        <v>14</v>
      </c>
      <c r="G30" s="75">
        <v>33.7</v>
      </c>
      <c r="H30" s="76">
        <f t="shared" si="13"/>
        <v>36.900000000000006</v>
      </c>
      <c r="I30" s="96">
        <f t="shared" si="1"/>
        <v>0.6275510204081634</v>
      </c>
      <c r="J30" s="96">
        <f t="shared" si="5"/>
        <v>2.635714285714286</v>
      </c>
      <c r="K30" s="84">
        <v>43.7</v>
      </c>
      <c r="L30" s="96">
        <f t="shared" si="4"/>
        <v>0.8443935926773456</v>
      </c>
      <c r="M30" s="75">
        <v>3.2</v>
      </c>
      <c r="N30" s="84">
        <v>4.5</v>
      </c>
      <c r="O30" s="96">
        <f t="shared" si="2"/>
        <v>0.7111111111111111</v>
      </c>
      <c r="P30" s="75"/>
      <c r="Q30" s="75"/>
      <c r="R30" s="75"/>
    </row>
    <row r="31" spans="1:18" ht="18">
      <c r="A31" s="9" t="s">
        <v>54</v>
      </c>
      <c r="B31" s="30">
        <v>1140205310</v>
      </c>
      <c r="C31" s="75"/>
      <c r="D31" s="75"/>
      <c r="E31" s="75">
        <f t="shared" si="12"/>
        <v>0</v>
      </c>
      <c r="F31" s="75"/>
      <c r="G31" s="75"/>
      <c r="H31" s="76">
        <f t="shared" si="13"/>
        <v>0</v>
      </c>
      <c r="I31" s="96">
        <f t="shared" si="1"/>
        <v>0</v>
      </c>
      <c r="J31" s="96"/>
      <c r="K31" s="84"/>
      <c r="L31" s="96">
        <f t="shared" si="4"/>
        <v>0</v>
      </c>
      <c r="M31" s="75"/>
      <c r="N31" s="84"/>
      <c r="O31" s="96">
        <f t="shared" si="2"/>
        <v>0</v>
      </c>
      <c r="P31" s="75"/>
      <c r="Q31" s="75"/>
      <c r="R31" s="75"/>
    </row>
    <row r="32" spans="1:18" ht="18">
      <c r="A32" s="9" t="s">
        <v>92</v>
      </c>
      <c r="B32" s="30">
        <v>1140601410</v>
      </c>
      <c r="C32" s="75"/>
      <c r="D32" s="75"/>
      <c r="E32" s="75">
        <f t="shared" si="12"/>
        <v>0</v>
      </c>
      <c r="F32" s="75"/>
      <c r="G32" s="75"/>
      <c r="H32" s="76">
        <f t="shared" si="13"/>
        <v>0</v>
      </c>
      <c r="I32" s="96">
        <f t="shared" si="1"/>
        <v>0</v>
      </c>
      <c r="J32" s="96">
        <f t="shared" si="5"/>
        <v>0</v>
      </c>
      <c r="K32" s="84"/>
      <c r="L32" s="96">
        <f t="shared" si="4"/>
        <v>0</v>
      </c>
      <c r="M32" s="75"/>
      <c r="N32" s="84"/>
      <c r="O32" s="96">
        <f t="shared" si="2"/>
        <v>0</v>
      </c>
      <c r="P32" s="75"/>
      <c r="Q32" s="75"/>
      <c r="R32" s="75"/>
    </row>
    <row r="33" spans="1:18" ht="18">
      <c r="A33" s="9" t="s">
        <v>91</v>
      </c>
      <c r="B33" s="30">
        <v>1169005010</v>
      </c>
      <c r="C33" s="75"/>
      <c r="D33" s="75"/>
      <c r="E33" s="75">
        <f t="shared" si="12"/>
        <v>0</v>
      </c>
      <c r="F33" s="75"/>
      <c r="G33" s="75"/>
      <c r="H33" s="76">
        <f t="shared" si="13"/>
        <v>0</v>
      </c>
      <c r="I33" s="96">
        <f>IF(E33&gt;0,H33/E33,0)</f>
        <v>0</v>
      </c>
      <c r="J33" s="96">
        <f>IF(F33&gt;0,H33/F33,0)</f>
        <v>0</v>
      </c>
      <c r="K33" s="84"/>
      <c r="L33" s="96">
        <f t="shared" si="4"/>
        <v>0</v>
      </c>
      <c r="M33" s="75"/>
      <c r="N33" s="84"/>
      <c r="O33" s="96">
        <f t="shared" si="2"/>
        <v>0</v>
      </c>
      <c r="P33" s="75"/>
      <c r="Q33" s="75"/>
      <c r="R33" s="75"/>
    </row>
    <row r="34" spans="1:18" ht="18">
      <c r="A34" s="9" t="s">
        <v>83</v>
      </c>
      <c r="B34" s="30">
        <v>1170000000</v>
      </c>
      <c r="C34" s="76">
        <f aca="true" t="shared" si="14" ref="C34:H34">SUM(C35:C36)</f>
        <v>0</v>
      </c>
      <c r="D34" s="76">
        <f t="shared" si="14"/>
        <v>0</v>
      </c>
      <c r="E34" s="76">
        <f t="shared" si="14"/>
        <v>0</v>
      </c>
      <c r="F34" s="76">
        <f t="shared" si="14"/>
        <v>0</v>
      </c>
      <c r="G34" s="76">
        <f>SUM(G35:G36)</f>
        <v>1</v>
      </c>
      <c r="H34" s="76">
        <f t="shared" si="14"/>
        <v>1.1</v>
      </c>
      <c r="I34" s="96">
        <f>IF(E34&gt;0,H34/E34,0)</f>
        <v>0</v>
      </c>
      <c r="J34" s="96">
        <f>IF(F34&gt;0,H34/F34,0)</f>
        <v>0</v>
      </c>
      <c r="K34" s="76">
        <f>SUM(K35:K36)</f>
        <v>0.7</v>
      </c>
      <c r="L34" s="96">
        <f t="shared" si="4"/>
        <v>1.5714285714285716</v>
      </c>
      <c r="M34" s="76">
        <f>SUM(M35:M36)</f>
        <v>0.1</v>
      </c>
      <c r="N34" s="76">
        <f>SUM(N35:N36)</f>
        <v>0</v>
      </c>
      <c r="O34" s="96">
        <f t="shared" si="2"/>
        <v>0</v>
      </c>
      <c r="P34" s="76">
        <f>SUM(P35:P36)</f>
        <v>0</v>
      </c>
      <c r="Q34" s="76">
        <f>SUM(Q35:Q36)</f>
        <v>0</v>
      </c>
      <c r="R34" s="76">
        <f>SUM(R35:R36)</f>
        <v>0</v>
      </c>
    </row>
    <row r="35" spans="1:18" ht="18">
      <c r="A35" s="13" t="s">
        <v>10</v>
      </c>
      <c r="B35" s="13">
        <v>1170103003</v>
      </c>
      <c r="C35" s="74"/>
      <c r="D35" s="74"/>
      <c r="E35" s="74">
        <f>C35+D35</f>
        <v>0</v>
      </c>
      <c r="F35" s="74"/>
      <c r="G35" s="74"/>
      <c r="H35" s="70">
        <f>G35+M35</f>
        <v>0</v>
      </c>
      <c r="I35" s="85">
        <f t="shared" si="1"/>
        <v>0</v>
      </c>
      <c r="J35" s="85">
        <f t="shared" si="5"/>
        <v>0</v>
      </c>
      <c r="K35" s="83"/>
      <c r="L35" s="85">
        <f t="shared" si="4"/>
        <v>0</v>
      </c>
      <c r="M35" s="74"/>
      <c r="N35" s="83"/>
      <c r="O35" s="85">
        <f aca="true" t="shared" si="15" ref="O35:O41">IF(N35&gt;0,M35/N35,0)</f>
        <v>0</v>
      </c>
      <c r="P35" s="85"/>
      <c r="Q35" s="85"/>
      <c r="R35" s="85"/>
    </row>
    <row r="36" spans="1:18" ht="18">
      <c r="A36" s="13" t="s">
        <v>41</v>
      </c>
      <c r="B36" s="13">
        <v>1170505010</v>
      </c>
      <c r="C36" s="74"/>
      <c r="D36" s="70"/>
      <c r="E36" s="74">
        <f>C36+D36</f>
        <v>0</v>
      </c>
      <c r="F36" s="74"/>
      <c r="G36" s="74">
        <v>1</v>
      </c>
      <c r="H36" s="70">
        <f>G36+M36</f>
        <v>1.1</v>
      </c>
      <c r="I36" s="85">
        <f>IF(E36&gt;0,H36/E36,0)</f>
        <v>0</v>
      </c>
      <c r="J36" s="85">
        <f>IF(F36&gt;0,H36/F36,0)</f>
        <v>0</v>
      </c>
      <c r="K36" s="83">
        <v>0.7</v>
      </c>
      <c r="L36" s="85">
        <f>IF(K36&gt;0,H36/K36,0)</f>
        <v>1.5714285714285716</v>
      </c>
      <c r="M36" s="74">
        <v>0.1</v>
      </c>
      <c r="N36" s="83"/>
      <c r="O36" s="85">
        <f t="shared" si="15"/>
        <v>0</v>
      </c>
      <c r="P36" s="74"/>
      <c r="Q36" s="74"/>
      <c r="R36" s="74"/>
    </row>
    <row r="37" spans="1:18" ht="18">
      <c r="A37" s="9" t="s">
        <v>8</v>
      </c>
      <c r="B37" s="9">
        <v>1000000000</v>
      </c>
      <c r="C37" s="87">
        <f aca="true" t="shared" si="16" ref="C37:H37">C5+C25</f>
        <v>1399.3000000000002</v>
      </c>
      <c r="D37" s="87">
        <f t="shared" si="16"/>
        <v>5.5</v>
      </c>
      <c r="E37" s="87">
        <f t="shared" si="16"/>
        <v>1404.8000000000002</v>
      </c>
      <c r="F37" s="87">
        <f t="shared" si="16"/>
        <v>275.6</v>
      </c>
      <c r="G37" s="87">
        <f>G5+G25</f>
        <v>800.2</v>
      </c>
      <c r="H37" s="87">
        <f t="shared" si="16"/>
        <v>916.0999999999999</v>
      </c>
      <c r="I37" s="101">
        <f t="shared" si="1"/>
        <v>0.6521212984054668</v>
      </c>
      <c r="J37" s="101">
        <f t="shared" si="5"/>
        <v>3.3240203193033375</v>
      </c>
      <c r="K37" s="87">
        <f>K5+K25</f>
        <v>535</v>
      </c>
      <c r="L37" s="101">
        <f t="shared" si="4"/>
        <v>1.7123364485981307</v>
      </c>
      <c r="M37" s="87">
        <f>M5+M25</f>
        <v>115.9</v>
      </c>
      <c r="N37" s="87">
        <f>N5+N25</f>
        <v>58.400000000000006</v>
      </c>
      <c r="O37" s="101">
        <f t="shared" si="15"/>
        <v>1.9845890410958904</v>
      </c>
      <c r="P37" s="87">
        <f>P5+P25</f>
        <v>40.3</v>
      </c>
      <c r="Q37" s="87">
        <f>Q5+Q25</f>
        <v>38.699999999999996</v>
      </c>
      <c r="R37" s="87">
        <f>R5+R25</f>
        <v>37.6</v>
      </c>
    </row>
    <row r="38" spans="1:18" ht="18">
      <c r="A38" s="9" t="s">
        <v>111</v>
      </c>
      <c r="B38" s="9"/>
      <c r="C38" s="87">
        <f aca="true" t="shared" si="17" ref="C38:H38">C37-C11</f>
        <v>827.0000000000002</v>
      </c>
      <c r="D38" s="87">
        <f t="shared" si="17"/>
        <v>5.5</v>
      </c>
      <c r="E38" s="87">
        <f t="shared" si="17"/>
        <v>832.5000000000002</v>
      </c>
      <c r="F38" s="87">
        <f t="shared" si="17"/>
        <v>133.60000000000002</v>
      </c>
      <c r="G38" s="87">
        <f t="shared" si="17"/>
        <v>491.1</v>
      </c>
      <c r="H38" s="87">
        <f t="shared" si="17"/>
        <v>571.0999999999999</v>
      </c>
      <c r="I38" s="101">
        <f>IF(E38&gt;0,H38/E38,0)</f>
        <v>0.6860060060060057</v>
      </c>
      <c r="J38" s="101">
        <f>IF(F38&gt;0,H38/F38,0)</f>
        <v>4.274700598802394</v>
      </c>
      <c r="K38" s="87">
        <f>K37-K11</f>
        <v>535</v>
      </c>
      <c r="L38" s="101">
        <f t="shared" si="4"/>
        <v>1.0674766355140186</v>
      </c>
      <c r="M38" s="87">
        <f>M37-M11</f>
        <v>80</v>
      </c>
      <c r="N38" s="87">
        <f>N37-N11</f>
        <v>58.400000000000006</v>
      </c>
      <c r="O38" s="101">
        <f t="shared" si="15"/>
        <v>1.36986301369863</v>
      </c>
      <c r="P38" s="87"/>
      <c r="Q38" s="87"/>
      <c r="R38" s="87"/>
    </row>
    <row r="39" spans="1:18" ht="18">
      <c r="A39" s="13" t="s">
        <v>30</v>
      </c>
      <c r="B39" s="13">
        <v>2000000000</v>
      </c>
      <c r="C39" s="74">
        <v>915.2</v>
      </c>
      <c r="D39" s="70">
        <f>61.4+100</f>
        <v>161.4</v>
      </c>
      <c r="E39" s="74">
        <f>C39+D39</f>
        <v>1076.6000000000001</v>
      </c>
      <c r="F39" s="74">
        <f>229.8</f>
        <v>229.8</v>
      </c>
      <c r="G39" s="74">
        <v>608.4</v>
      </c>
      <c r="H39" s="70">
        <f>G39+M39</f>
        <v>669.8</v>
      </c>
      <c r="I39" s="85">
        <f t="shared" si="1"/>
        <v>0.6221437859929406</v>
      </c>
      <c r="J39" s="85">
        <f t="shared" si="5"/>
        <v>2.9147084421235854</v>
      </c>
      <c r="K39" s="98">
        <v>926.9</v>
      </c>
      <c r="L39" s="85">
        <f t="shared" si="4"/>
        <v>0.7226237997626497</v>
      </c>
      <c r="M39" s="74">
        <v>61.4</v>
      </c>
      <c r="N39" s="98">
        <v>97.8</v>
      </c>
      <c r="O39" s="85">
        <f t="shared" si="15"/>
        <v>0.6278118609406953</v>
      </c>
      <c r="P39" s="74"/>
      <c r="Q39" s="74"/>
      <c r="R39" s="74"/>
    </row>
    <row r="40" spans="1:18" ht="18">
      <c r="A40" s="13" t="s">
        <v>56</v>
      </c>
      <c r="B40" s="34" t="s">
        <v>45</v>
      </c>
      <c r="C40" s="74"/>
      <c r="D40" s="90"/>
      <c r="E40" s="74">
        <f>C40+D40</f>
        <v>0</v>
      </c>
      <c r="F40" s="74"/>
      <c r="G40" s="74"/>
      <c r="H40" s="70">
        <f>G40+M40</f>
        <v>0</v>
      </c>
      <c r="I40" s="85">
        <f t="shared" si="1"/>
        <v>0</v>
      </c>
      <c r="J40" s="85"/>
      <c r="K40" s="98"/>
      <c r="L40" s="85">
        <f t="shared" si="4"/>
        <v>0</v>
      </c>
      <c r="M40" s="74"/>
      <c r="N40" s="98"/>
      <c r="O40" s="85">
        <f t="shared" si="15"/>
        <v>0</v>
      </c>
      <c r="P40" s="74"/>
      <c r="Q40" s="74"/>
      <c r="R40" s="74"/>
    </row>
    <row r="41" spans="1:18" ht="18">
      <c r="A41" s="9" t="s">
        <v>2</v>
      </c>
      <c r="B41" s="9">
        <v>0</v>
      </c>
      <c r="C41" s="87">
        <f>C37+C39+C40</f>
        <v>2314.5</v>
      </c>
      <c r="D41" s="87">
        <f>D37+D39+D40</f>
        <v>166.9</v>
      </c>
      <c r="E41" s="97">
        <f>E37+E39+E40</f>
        <v>2481.4000000000005</v>
      </c>
      <c r="F41" s="97">
        <f>F37+F39</f>
        <v>505.40000000000003</v>
      </c>
      <c r="G41" s="87">
        <f>G37+G39+G40</f>
        <v>1408.6</v>
      </c>
      <c r="H41" s="87">
        <f>H37+H39+H40</f>
        <v>1585.8999999999999</v>
      </c>
      <c r="I41" s="101">
        <f t="shared" si="1"/>
        <v>0.6391150157169337</v>
      </c>
      <c r="J41" s="101">
        <f t="shared" si="5"/>
        <v>3.137910565888405</v>
      </c>
      <c r="K41" s="87">
        <f>K37+K39+K40</f>
        <v>1461.9</v>
      </c>
      <c r="L41" s="101">
        <f t="shared" si="4"/>
        <v>1.084821123195841</v>
      </c>
      <c r="M41" s="87">
        <f>M37+M39+M40</f>
        <v>177.3</v>
      </c>
      <c r="N41" s="87">
        <f>N37+N39+N40</f>
        <v>156.2</v>
      </c>
      <c r="O41" s="101">
        <f t="shared" si="15"/>
        <v>1.1350832266325226</v>
      </c>
      <c r="P41" s="102">
        <f>P37+P39</f>
        <v>40.3</v>
      </c>
      <c r="Q41" s="87">
        <f>Q37+Q39</f>
        <v>38.699999999999996</v>
      </c>
      <c r="R41" s="87">
        <f>R37+R39</f>
        <v>37.6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8" sqref="D28"/>
    </sheetView>
  </sheetViews>
  <sheetFormatPr defaultColWidth="9.00390625" defaultRowHeight="12.75"/>
  <cols>
    <col min="1" max="1" width="41.375" style="0" customWidth="1"/>
    <col min="2" max="2" width="14.875" style="0" customWidth="1"/>
    <col min="3" max="4" width="11.25390625" style="0" customWidth="1"/>
    <col min="5" max="5" width="13.125" style="0" customWidth="1"/>
    <col min="6" max="6" width="12.25390625" style="0" customWidth="1"/>
    <col min="7" max="7" width="9.875" style="0" customWidth="1"/>
    <col min="8" max="8" width="12.00390625" style="0" customWidth="1"/>
    <col min="9" max="9" width="11.875" style="0" customWidth="1"/>
    <col min="10" max="10" width="11.75390625" style="0" customWidth="1"/>
    <col min="11" max="11" width="10.375" style="0" customWidth="1"/>
    <col min="12" max="12" width="10.875" style="0" customWidth="1"/>
    <col min="13" max="13" width="9.125" style="0" customWidth="1"/>
    <col min="14" max="14" width="8.875" style="0" customWidth="1"/>
    <col min="15" max="15" width="12.625" style="0" customWidth="1"/>
    <col min="16" max="16" width="10.625" style="0" customWidth="1"/>
    <col min="17" max="17" width="9.875" style="0" customWidth="1"/>
    <col min="18" max="18" width="10.00390625" style="0" customWidth="1"/>
  </cols>
  <sheetData>
    <row r="1" spans="1:18" ht="15.75">
      <c r="A1" s="26"/>
      <c r="B1" s="48"/>
      <c r="C1" s="138" t="s">
        <v>13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49"/>
      <c r="O1" s="49"/>
      <c r="P1" s="26"/>
      <c r="Q1" s="26"/>
      <c r="R1" s="26"/>
    </row>
    <row r="2" spans="1:18" ht="15.75">
      <c r="A2" s="26"/>
      <c r="B2" s="149" t="s">
        <v>124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3.5" customHeight="1">
      <c r="A3" s="136" t="s">
        <v>4</v>
      </c>
      <c r="B3" s="136" t="s">
        <v>6</v>
      </c>
      <c r="C3" s="140" t="s">
        <v>58</v>
      </c>
      <c r="D3" s="140" t="s">
        <v>29</v>
      </c>
      <c r="E3" s="142" t="s">
        <v>59</v>
      </c>
      <c r="F3" s="136" t="s">
        <v>109</v>
      </c>
      <c r="G3" s="136" t="s">
        <v>110</v>
      </c>
      <c r="H3" s="136" t="s">
        <v>60</v>
      </c>
      <c r="I3" s="136"/>
      <c r="J3" s="136"/>
      <c r="K3" s="136" t="s">
        <v>57</v>
      </c>
      <c r="L3" s="136"/>
      <c r="M3" s="136" t="s">
        <v>115</v>
      </c>
      <c r="N3" s="136" t="s">
        <v>116</v>
      </c>
      <c r="O3" s="141" t="s">
        <v>23</v>
      </c>
      <c r="P3" s="141" t="s">
        <v>11</v>
      </c>
      <c r="Q3" s="141"/>
      <c r="R3" s="141"/>
    </row>
    <row r="4" spans="1:18" ht="93.75" customHeight="1">
      <c r="A4" s="147"/>
      <c r="B4" s="147"/>
      <c r="C4" s="144"/>
      <c r="D4" s="144"/>
      <c r="E4" s="148"/>
      <c r="F4" s="136"/>
      <c r="G4" s="136"/>
      <c r="H4" s="47" t="s">
        <v>114</v>
      </c>
      <c r="I4" s="47" t="s">
        <v>12</v>
      </c>
      <c r="J4" s="47" t="s">
        <v>34</v>
      </c>
      <c r="K4" s="47" t="s">
        <v>114</v>
      </c>
      <c r="L4" s="47" t="s">
        <v>35</v>
      </c>
      <c r="M4" s="136"/>
      <c r="N4" s="136"/>
      <c r="O4" s="141"/>
      <c r="P4" s="133" t="s">
        <v>61</v>
      </c>
      <c r="Q4" s="134" t="s">
        <v>112</v>
      </c>
      <c r="R4" s="134" t="s">
        <v>120</v>
      </c>
    </row>
    <row r="5" spans="1:18" ht="15" customHeight="1">
      <c r="A5" s="29" t="s">
        <v>26</v>
      </c>
      <c r="B5" s="29"/>
      <c r="C5" s="99">
        <f aca="true" t="shared" si="0" ref="C5:H5">C6+C16+C18+C23+C24+C11</f>
        <v>1441</v>
      </c>
      <c r="D5" s="99">
        <f t="shared" si="0"/>
        <v>50</v>
      </c>
      <c r="E5" s="99">
        <f t="shared" si="0"/>
        <v>1491</v>
      </c>
      <c r="F5" s="99">
        <f t="shared" si="0"/>
        <v>976.8</v>
      </c>
      <c r="G5" s="99">
        <f t="shared" si="0"/>
        <v>807.2</v>
      </c>
      <c r="H5" s="99">
        <f t="shared" si="0"/>
        <v>886.3000000000001</v>
      </c>
      <c r="I5" s="100">
        <f aca="true" t="shared" si="1" ref="I5:I40">IF(E5&gt;0,H5/E5,0)</f>
        <v>0.5944332662642522</v>
      </c>
      <c r="J5" s="100">
        <f>IF(F5&gt;0,H5/F5,0)</f>
        <v>0.9073505323505324</v>
      </c>
      <c r="K5" s="99">
        <f>K6+K16+K18+K23+K24+K11</f>
        <v>593</v>
      </c>
      <c r="L5" s="100">
        <f>IF(K5&gt;0,H5/K5,0)</f>
        <v>1.4946037099494098</v>
      </c>
      <c r="M5" s="99">
        <f>M6+M16+M18+M23+M24+M11</f>
        <v>79.1</v>
      </c>
      <c r="N5" s="99">
        <f>N6+N16+N18+N23+N24+N11</f>
        <v>58</v>
      </c>
      <c r="O5" s="100">
        <f aca="true" t="shared" si="2" ref="O5:O40">IF(N5&gt;0,M5/N5,0)</f>
        <v>1.3637931034482758</v>
      </c>
      <c r="P5" s="99">
        <f>P6+P16+P18+P23+P24+P11</f>
        <v>128.9</v>
      </c>
      <c r="Q5" s="99">
        <f>Q6+Q16+Q18+Q23+Q24+Q11</f>
        <v>119.39999999999999</v>
      </c>
      <c r="R5" s="99">
        <f>R6+R16+R18+R23+R24+R11</f>
        <v>118.30000000000001</v>
      </c>
    </row>
    <row r="6" spans="1:18" ht="18">
      <c r="A6" s="9" t="s">
        <v>77</v>
      </c>
      <c r="B6" s="30">
        <v>1010200001</v>
      </c>
      <c r="C6" s="75">
        <f aca="true" t="shared" si="3" ref="C6:H6">C7+C8+C9+C10</f>
        <v>638.2</v>
      </c>
      <c r="D6" s="75">
        <f t="shared" si="3"/>
        <v>0</v>
      </c>
      <c r="E6" s="75">
        <f t="shared" si="3"/>
        <v>638.2</v>
      </c>
      <c r="F6" s="75">
        <f t="shared" si="3"/>
        <v>325</v>
      </c>
      <c r="G6" s="75">
        <f t="shared" si="3"/>
        <v>359.8</v>
      </c>
      <c r="H6" s="75">
        <f t="shared" si="3"/>
        <v>398.40000000000003</v>
      </c>
      <c r="I6" s="96">
        <f t="shared" si="1"/>
        <v>0.6242557192102789</v>
      </c>
      <c r="J6" s="96">
        <f>IF(F6&gt;0,H6/F6,0)</f>
        <v>1.225846153846154</v>
      </c>
      <c r="K6" s="103">
        <f>SUM(K7:K10)</f>
        <v>365.4</v>
      </c>
      <c r="L6" s="96">
        <f aca="true" t="shared" si="4" ref="L6:L40">IF(K6&gt;0,H6/K6,0)</f>
        <v>1.0903119868637112</v>
      </c>
      <c r="M6" s="75">
        <f>M7+M8+M9+M10</f>
        <v>38.6</v>
      </c>
      <c r="N6" s="75">
        <f>N7+N8+N9+N10</f>
        <v>38.9</v>
      </c>
      <c r="O6" s="96">
        <f t="shared" si="2"/>
        <v>0.9922879177377892</v>
      </c>
      <c r="P6" s="75">
        <f>P7+P8+P9+P10</f>
        <v>20.2</v>
      </c>
      <c r="Q6" s="75">
        <f>Q7+Q8+Q9+Q10</f>
        <v>20.2</v>
      </c>
      <c r="R6" s="75">
        <f>R7+R8+R9+R10</f>
        <v>20.2</v>
      </c>
    </row>
    <row r="7" spans="1:18" ht="21" customHeight="1">
      <c r="A7" s="10" t="s">
        <v>53</v>
      </c>
      <c r="B7" s="13">
        <v>1010201001</v>
      </c>
      <c r="C7" s="74">
        <v>635</v>
      </c>
      <c r="D7" s="70"/>
      <c r="E7" s="74">
        <f>C7+D7</f>
        <v>635</v>
      </c>
      <c r="F7" s="74">
        <f>100+105+120</f>
        <v>325</v>
      </c>
      <c r="G7" s="70">
        <v>359.1</v>
      </c>
      <c r="H7" s="70">
        <f>G7+M7</f>
        <v>397.70000000000005</v>
      </c>
      <c r="I7" s="85">
        <f t="shared" si="1"/>
        <v>0.6262992125984252</v>
      </c>
      <c r="J7" s="85">
        <f aca="true" t="shared" si="5" ref="J7:J38">IF(F7&gt;0,H7/F7,0)</f>
        <v>1.2236923076923079</v>
      </c>
      <c r="K7" s="83">
        <v>364.9</v>
      </c>
      <c r="L7" s="85">
        <f t="shared" si="4"/>
        <v>1.0898876404494384</v>
      </c>
      <c r="M7" s="70">
        <v>38.6</v>
      </c>
      <c r="N7" s="83">
        <v>38.9</v>
      </c>
      <c r="O7" s="85">
        <f t="shared" si="2"/>
        <v>0.9922879177377892</v>
      </c>
      <c r="P7" s="74">
        <v>20.2</v>
      </c>
      <c r="Q7" s="74">
        <v>20.2</v>
      </c>
      <c r="R7" s="74">
        <v>20.2</v>
      </c>
    </row>
    <row r="8" spans="1:18" ht="18" customHeight="1">
      <c r="A8" s="10" t="s">
        <v>52</v>
      </c>
      <c r="B8" s="13">
        <v>1010202001</v>
      </c>
      <c r="C8" s="74"/>
      <c r="D8" s="70"/>
      <c r="E8" s="74">
        <f>C8+D8</f>
        <v>0</v>
      </c>
      <c r="F8" s="74"/>
      <c r="G8" s="74">
        <v>0.5</v>
      </c>
      <c r="H8" s="70">
        <f>G8+M8</f>
        <v>0.5</v>
      </c>
      <c r="I8" s="85">
        <f t="shared" si="1"/>
        <v>0</v>
      </c>
      <c r="J8" s="85">
        <f t="shared" si="5"/>
        <v>0</v>
      </c>
      <c r="K8" s="83"/>
      <c r="L8" s="85">
        <f>IF(K8&gt;0,H8/K8,0)</f>
        <v>0</v>
      </c>
      <c r="M8" s="74"/>
      <c r="N8" s="83"/>
      <c r="O8" s="85">
        <f t="shared" si="2"/>
        <v>0</v>
      </c>
      <c r="P8" s="74"/>
      <c r="Q8" s="74"/>
      <c r="R8" s="74"/>
    </row>
    <row r="9" spans="1:18" ht="20.25" customHeight="1">
      <c r="A9" s="10" t="s">
        <v>50</v>
      </c>
      <c r="B9" s="13">
        <v>1010203001</v>
      </c>
      <c r="C9" s="74">
        <v>3.2</v>
      </c>
      <c r="D9" s="74"/>
      <c r="E9" s="74">
        <f>C9+D9</f>
        <v>3.2</v>
      </c>
      <c r="F9" s="74"/>
      <c r="G9" s="74">
        <v>0.2</v>
      </c>
      <c r="H9" s="70">
        <f>G9+M9</f>
        <v>0.2</v>
      </c>
      <c r="I9" s="85">
        <f t="shared" si="1"/>
        <v>0.0625</v>
      </c>
      <c r="J9" s="85">
        <f t="shared" si="5"/>
        <v>0</v>
      </c>
      <c r="K9" s="83">
        <v>0.5</v>
      </c>
      <c r="L9" s="85">
        <f t="shared" si="4"/>
        <v>0.4</v>
      </c>
      <c r="M9" s="74"/>
      <c r="N9" s="83"/>
      <c r="O9" s="85">
        <f t="shared" si="2"/>
        <v>0</v>
      </c>
      <c r="P9" s="74"/>
      <c r="Q9" s="74"/>
      <c r="R9" s="74"/>
    </row>
    <row r="10" spans="1:18" ht="15" customHeight="1" hidden="1">
      <c r="A10" s="10" t="s">
        <v>51</v>
      </c>
      <c r="B10" s="13">
        <v>1010204001</v>
      </c>
      <c r="C10" s="74"/>
      <c r="D10" s="74"/>
      <c r="E10" s="74">
        <f>C10+D10</f>
        <v>0</v>
      </c>
      <c r="F10" s="74"/>
      <c r="G10" s="74"/>
      <c r="H10" s="70">
        <f>G10+M10</f>
        <v>0</v>
      </c>
      <c r="I10" s="85">
        <f t="shared" si="1"/>
        <v>0</v>
      </c>
      <c r="J10" s="85">
        <f t="shared" si="5"/>
        <v>0</v>
      </c>
      <c r="K10" s="83"/>
      <c r="L10" s="85">
        <f t="shared" si="4"/>
        <v>0</v>
      </c>
      <c r="M10" s="74"/>
      <c r="N10" s="83"/>
      <c r="O10" s="85">
        <f t="shared" si="2"/>
        <v>0</v>
      </c>
      <c r="P10" s="74"/>
      <c r="Q10" s="74"/>
      <c r="R10" s="74"/>
    </row>
    <row r="11" spans="1:18" ht="16.5" customHeight="1">
      <c r="A11" s="11" t="s">
        <v>62</v>
      </c>
      <c r="B11" s="19">
        <v>1030200001</v>
      </c>
      <c r="C11" s="75">
        <f aca="true" t="shared" si="6" ref="C11:H11">SUM(C12:C15)</f>
        <v>423.59999999999997</v>
      </c>
      <c r="D11" s="75">
        <f t="shared" si="6"/>
        <v>0</v>
      </c>
      <c r="E11" s="75">
        <f t="shared" si="6"/>
        <v>423.59999999999997</v>
      </c>
      <c r="F11" s="75">
        <f>102.2+105.9+105.9</f>
        <v>314</v>
      </c>
      <c r="G11" s="75">
        <f>SUM(G12:G15)</f>
        <v>228.8</v>
      </c>
      <c r="H11" s="75">
        <f t="shared" si="6"/>
        <v>255.39999999999998</v>
      </c>
      <c r="I11" s="68">
        <f t="shared" si="1"/>
        <v>0.6029272898961284</v>
      </c>
      <c r="J11" s="68">
        <f>IF(F11&gt;0,H11/F11,0)</f>
        <v>0.8133757961783439</v>
      </c>
      <c r="K11" s="75">
        <f>SUM(K12:K15)</f>
        <v>0</v>
      </c>
      <c r="L11" s="68">
        <f t="shared" si="4"/>
        <v>0</v>
      </c>
      <c r="M11" s="75">
        <f>SUM(M12:M15)</f>
        <v>26.599999999999998</v>
      </c>
      <c r="N11" s="75">
        <f>SUM(N12:N15)</f>
        <v>0</v>
      </c>
      <c r="O11" s="68">
        <f t="shared" si="2"/>
        <v>0</v>
      </c>
      <c r="P11" s="75">
        <f>SUM(P12:P15)</f>
        <v>0</v>
      </c>
      <c r="Q11" s="75">
        <f>SUM(Q12:Q15)</f>
        <v>0</v>
      </c>
      <c r="R11" s="75">
        <f>SUM(R12:R15)</f>
        <v>0</v>
      </c>
    </row>
    <row r="12" spans="1:18" ht="20.25" customHeight="1">
      <c r="A12" s="12" t="s">
        <v>63</v>
      </c>
      <c r="B12" s="12">
        <v>1030223001</v>
      </c>
      <c r="C12" s="74">
        <v>179.6</v>
      </c>
      <c r="D12" s="74"/>
      <c r="E12" s="69">
        <f>C12+D12</f>
        <v>179.6</v>
      </c>
      <c r="F12" s="69"/>
      <c r="G12" s="74">
        <v>88.2</v>
      </c>
      <c r="H12" s="71">
        <f>G12+M12</f>
        <v>97</v>
      </c>
      <c r="I12" s="72">
        <f t="shared" si="1"/>
        <v>0.5400890868596883</v>
      </c>
      <c r="J12" s="72">
        <f>IF(F12&gt;0,H12/F12,0)</f>
        <v>0</v>
      </c>
      <c r="K12" s="73"/>
      <c r="L12" s="72">
        <f t="shared" si="4"/>
        <v>0</v>
      </c>
      <c r="M12" s="74">
        <v>8.8</v>
      </c>
      <c r="N12" s="73"/>
      <c r="O12" s="72">
        <f t="shared" si="2"/>
        <v>0</v>
      </c>
      <c r="P12" s="74"/>
      <c r="Q12" s="74"/>
      <c r="R12" s="74"/>
    </row>
    <row r="13" spans="1:18" ht="18" customHeight="1">
      <c r="A13" s="12" t="s">
        <v>64</v>
      </c>
      <c r="B13" s="12">
        <v>1030224001</v>
      </c>
      <c r="C13" s="74">
        <v>3</v>
      </c>
      <c r="D13" s="74"/>
      <c r="E13" s="69">
        <f>C13+D13</f>
        <v>3</v>
      </c>
      <c r="F13" s="69"/>
      <c r="G13" s="74">
        <v>1.8</v>
      </c>
      <c r="H13" s="71">
        <f>G13+M13</f>
        <v>2</v>
      </c>
      <c r="I13" s="72">
        <f t="shared" si="1"/>
        <v>0.6666666666666666</v>
      </c>
      <c r="J13" s="72">
        <f>IF(F13&gt;0,H13/F13,0)</f>
        <v>0</v>
      </c>
      <c r="K13" s="73"/>
      <c r="L13" s="72">
        <f t="shared" si="4"/>
        <v>0</v>
      </c>
      <c r="M13" s="74">
        <v>0.2</v>
      </c>
      <c r="N13" s="73"/>
      <c r="O13" s="72">
        <f t="shared" si="2"/>
        <v>0</v>
      </c>
      <c r="P13" s="74"/>
      <c r="Q13" s="74"/>
      <c r="R13" s="74"/>
    </row>
    <row r="14" spans="1:18" ht="18" customHeight="1">
      <c r="A14" s="12" t="s">
        <v>65</v>
      </c>
      <c r="B14" s="12">
        <v>1030225001</v>
      </c>
      <c r="C14" s="74">
        <v>229.1</v>
      </c>
      <c r="D14" s="74"/>
      <c r="E14" s="69">
        <f>C14+D14</f>
        <v>229.1</v>
      </c>
      <c r="F14" s="69"/>
      <c r="G14" s="74">
        <v>139.5</v>
      </c>
      <c r="H14" s="71">
        <f>G14+M14</f>
        <v>159.2</v>
      </c>
      <c r="I14" s="72">
        <f t="shared" si="1"/>
        <v>0.6948930597992142</v>
      </c>
      <c r="J14" s="72">
        <f>IF(F14&gt;0,H14/F14,0)</f>
        <v>0</v>
      </c>
      <c r="K14" s="73"/>
      <c r="L14" s="72">
        <f t="shared" si="4"/>
        <v>0</v>
      </c>
      <c r="M14" s="74">
        <v>19.7</v>
      </c>
      <c r="N14" s="73"/>
      <c r="O14" s="72">
        <f t="shared" si="2"/>
        <v>0</v>
      </c>
      <c r="P14" s="74"/>
      <c r="Q14" s="74"/>
      <c r="R14" s="74"/>
    </row>
    <row r="15" spans="1:18" ht="19.5" customHeight="1">
      <c r="A15" s="12" t="s">
        <v>66</v>
      </c>
      <c r="B15" s="12">
        <v>1030226001</v>
      </c>
      <c r="C15" s="74">
        <v>11.9</v>
      </c>
      <c r="D15" s="74"/>
      <c r="E15" s="69">
        <f>C15+D15</f>
        <v>11.9</v>
      </c>
      <c r="F15" s="69"/>
      <c r="G15" s="74">
        <v>-0.7</v>
      </c>
      <c r="H15" s="71">
        <f>G15+M15</f>
        <v>-2.8</v>
      </c>
      <c r="I15" s="72">
        <f t="shared" si="1"/>
        <v>-0.2352941176470588</v>
      </c>
      <c r="J15" s="72">
        <f>IF(F15&gt;0,H15/F15,0)</f>
        <v>0</v>
      </c>
      <c r="K15" s="73"/>
      <c r="L15" s="72">
        <f t="shared" si="4"/>
        <v>0</v>
      </c>
      <c r="M15" s="74">
        <v>-2.1</v>
      </c>
      <c r="N15" s="73"/>
      <c r="O15" s="72">
        <f t="shared" si="2"/>
        <v>0</v>
      </c>
      <c r="P15" s="74"/>
      <c r="Q15" s="74"/>
      <c r="R15" s="74"/>
    </row>
    <row r="16" spans="1:18" ht="18">
      <c r="A16" s="9" t="s">
        <v>84</v>
      </c>
      <c r="B16" s="30">
        <v>1050000000</v>
      </c>
      <c r="C16" s="75">
        <f aca="true" t="shared" si="7" ref="C16:H16">C17</f>
        <v>0</v>
      </c>
      <c r="D16" s="76">
        <f t="shared" si="7"/>
        <v>0</v>
      </c>
      <c r="E16" s="76">
        <f t="shared" si="7"/>
        <v>0</v>
      </c>
      <c r="F16" s="76">
        <f t="shared" si="7"/>
        <v>0</v>
      </c>
      <c r="G16" s="75">
        <f>G17</f>
        <v>9.5</v>
      </c>
      <c r="H16" s="76">
        <f t="shared" si="7"/>
        <v>10</v>
      </c>
      <c r="I16" s="96">
        <f t="shared" si="1"/>
        <v>0</v>
      </c>
      <c r="J16" s="96">
        <f t="shared" si="5"/>
        <v>0</v>
      </c>
      <c r="K16" s="76">
        <f>K17</f>
        <v>0</v>
      </c>
      <c r="L16" s="96">
        <f t="shared" si="4"/>
        <v>0</v>
      </c>
      <c r="M16" s="75">
        <f>M17</f>
        <v>0.5</v>
      </c>
      <c r="N16" s="76">
        <f>N17</f>
        <v>0</v>
      </c>
      <c r="O16" s="96">
        <f t="shared" si="2"/>
        <v>0</v>
      </c>
      <c r="P16" s="75">
        <f>P17</f>
        <v>0</v>
      </c>
      <c r="Q16" s="75">
        <f>Q17</f>
        <v>0</v>
      </c>
      <c r="R16" s="75">
        <f>R17</f>
        <v>0</v>
      </c>
    </row>
    <row r="17" spans="1:18" ht="18">
      <c r="A17" s="13" t="s">
        <v>9</v>
      </c>
      <c r="B17" s="13">
        <v>1050300001</v>
      </c>
      <c r="C17" s="74"/>
      <c r="D17" s="70"/>
      <c r="E17" s="74">
        <f>C17+D17</f>
        <v>0</v>
      </c>
      <c r="F17" s="74"/>
      <c r="G17" s="74">
        <v>9.5</v>
      </c>
      <c r="H17" s="70">
        <f>G17+M17</f>
        <v>10</v>
      </c>
      <c r="I17" s="85">
        <f t="shared" si="1"/>
        <v>0</v>
      </c>
      <c r="J17" s="85">
        <f t="shared" si="5"/>
        <v>0</v>
      </c>
      <c r="K17" s="83"/>
      <c r="L17" s="85">
        <f t="shared" si="4"/>
        <v>0</v>
      </c>
      <c r="M17" s="74">
        <v>0.5</v>
      </c>
      <c r="N17" s="83"/>
      <c r="O17" s="85">
        <f t="shared" si="2"/>
        <v>0</v>
      </c>
      <c r="P17" s="74"/>
      <c r="Q17" s="74"/>
      <c r="R17" s="74"/>
    </row>
    <row r="18" spans="1:18" ht="18">
      <c r="A18" s="9" t="s">
        <v>85</v>
      </c>
      <c r="B18" s="30">
        <v>1060000000</v>
      </c>
      <c r="C18" s="75">
        <f aca="true" t="shared" si="8" ref="C18:H18">C19+C22</f>
        <v>374.20000000000005</v>
      </c>
      <c r="D18" s="76">
        <f t="shared" si="8"/>
        <v>50</v>
      </c>
      <c r="E18" s="76">
        <f t="shared" si="8"/>
        <v>424.20000000000005</v>
      </c>
      <c r="F18" s="76">
        <f t="shared" si="8"/>
        <v>332.8</v>
      </c>
      <c r="G18" s="75">
        <f>G19+G22</f>
        <v>200.29999999999998</v>
      </c>
      <c r="H18" s="76">
        <f t="shared" si="8"/>
        <v>213.5</v>
      </c>
      <c r="I18" s="96">
        <f t="shared" si="1"/>
        <v>0.5033003300330032</v>
      </c>
      <c r="J18" s="96">
        <f t="shared" si="5"/>
        <v>0.6415264423076923</v>
      </c>
      <c r="K18" s="76">
        <f>K19+K22</f>
        <v>222.3</v>
      </c>
      <c r="L18" s="96">
        <f t="shared" si="4"/>
        <v>0.9604138551506972</v>
      </c>
      <c r="M18" s="75">
        <f>M19+M22</f>
        <v>13.2</v>
      </c>
      <c r="N18" s="76">
        <f>N19+N22</f>
        <v>18.9</v>
      </c>
      <c r="O18" s="96">
        <f t="shared" si="2"/>
        <v>0.6984126984126984</v>
      </c>
      <c r="P18" s="75">
        <f>P19+P22</f>
        <v>108.7</v>
      </c>
      <c r="Q18" s="75">
        <f>Q19+Q22</f>
        <v>99.19999999999999</v>
      </c>
      <c r="R18" s="75">
        <f>R19+R22</f>
        <v>98.10000000000001</v>
      </c>
    </row>
    <row r="19" spans="1:18" ht="18">
      <c r="A19" s="13" t="s">
        <v>15</v>
      </c>
      <c r="B19" s="13">
        <v>1060600000</v>
      </c>
      <c r="C19" s="74">
        <f aca="true" t="shared" si="9" ref="C19:H19">C20+C21</f>
        <v>264.8</v>
      </c>
      <c r="D19" s="70">
        <f t="shared" si="9"/>
        <v>50</v>
      </c>
      <c r="E19" s="70">
        <f t="shared" si="9"/>
        <v>314.8</v>
      </c>
      <c r="F19" s="70">
        <f t="shared" si="9"/>
        <v>314.8</v>
      </c>
      <c r="G19" s="74">
        <f>G20+G21</f>
        <v>183.1</v>
      </c>
      <c r="H19" s="70">
        <f t="shared" si="9"/>
        <v>189.7</v>
      </c>
      <c r="I19" s="85">
        <f t="shared" si="1"/>
        <v>0.6026048284625158</v>
      </c>
      <c r="J19" s="85">
        <f t="shared" si="5"/>
        <v>0.6026048284625158</v>
      </c>
      <c r="K19" s="78">
        <f>K20+K21</f>
        <v>203</v>
      </c>
      <c r="L19" s="85">
        <f t="shared" si="4"/>
        <v>0.9344827586206896</v>
      </c>
      <c r="M19" s="74">
        <f>M20+M21</f>
        <v>6.6</v>
      </c>
      <c r="N19" s="78">
        <f>N20+N21</f>
        <v>12.9</v>
      </c>
      <c r="O19" s="85">
        <f t="shared" si="2"/>
        <v>0.5116279069767441</v>
      </c>
      <c r="P19" s="74">
        <f>P20+P21</f>
        <v>98.7</v>
      </c>
      <c r="Q19" s="74">
        <f>Q20+Q21</f>
        <v>92.1</v>
      </c>
      <c r="R19" s="74">
        <f>R20+R21</f>
        <v>91.4</v>
      </c>
    </row>
    <row r="20" spans="1:18" ht="18">
      <c r="A20" s="13" t="s">
        <v>16</v>
      </c>
      <c r="B20" s="13">
        <v>1060601310</v>
      </c>
      <c r="C20" s="74">
        <v>251.6</v>
      </c>
      <c r="D20" s="70">
        <v>50</v>
      </c>
      <c r="E20" s="74">
        <f>C20+D20</f>
        <v>301.6</v>
      </c>
      <c r="F20" s="74">
        <f>126.5+90+85.1</f>
        <v>301.6</v>
      </c>
      <c r="G20" s="74">
        <v>175.1</v>
      </c>
      <c r="H20" s="70">
        <f>G20+M20</f>
        <v>181.6</v>
      </c>
      <c r="I20" s="85">
        <f t="shared" si="1"/>
        <v>0.6021220159151193</v>
      </c>
      <c r="J20" s="85">
        <f t="shared" si="5"/>
        <v>0.6021220159151193</v>
      </c>
      <c r="K20" s="83">
        <v>200.4</v>
      </c>
      <c r="L20" s="85">
        <f t="shared" si="4"/>
        <v>0.906187624750499</v>
      </c>
      <c r="M20" s="74">
        <v>6.5</v>
      </c>
      <c r="N20" s="83">
        <v>12.9</v>
      </c>
      <c r="O20" s="85">
        <f t="shared" si="2"/>
        <v>0.5038759689922481</v>
      </c>
      <c r="P20" s="74">
        <v>89.5</v>
      </c>
      <c r="Q20" s="74">
        <v>78.8</v>
      </c>
      <c r="R20" s="74">
        <v>78</v>
      </c>
    </row>
    <row r="21" spans="1:18" ht="18">
      <c r="A21" s="13" t="s">
        <v>16</v>
      </c>
      <c r="B21" s="13">
        <v>1060602310</v>
      </c>
      <c r="C21" s="74">
        <v>13.2</v>
      </c>
      <c r="D21" s="70"/>
      <c r="E21" s="74">
        <f>C21+D21</f>
        <v>13.2</v>
      </c>
      <c r="F21" s="74">
        <f>6.2+6+1</f>
        <v>13.2</v>
      </c>
      <c r="G21" s="74">
        <v>8</v>
      </c>
      <c r="H21" s="70">
        <f>G21+M21</f>
        <v>8.1</v>
      </c>
      <c r="I21" s="85">
        <f t="shared" si="1"/>
        <v>0.6136363636363636</v>
      </c>
      <c r="J21" s="85">
        <f t="shared" si="5"/>
        <v>0.6136363636363636</v>
      </c>
      <c r="K21" s="83">
        <v>2.6</v>
      </c>
      <c r="L21" s="85">
        <f t="shared" si="4"/>
        <v>3.115384615384615</v>
      </c>
      <c r="M21" s="74">
        <v>0.1</v>
      </c>
      <c r="N21" s="83"/>
      <c r="O21" s="85">
        <f t="shared" si="2"/>
        <v>0</v>
      </c>
      <c r="P21" s="74">
        <v>9.2</v>
      </c>
      <c r="Q21" s="74">
        <v>13.3</v>
      </c>
      <c r="R21" s="74">
        <v>13.4</v>
      </c>
    </row>
    <row r="22" spans="1:18" ht="18">
      <c r="A22" s="13" t="s">
        <v>14</v>
      </c>
      <c r="B22" s="13">
        <v>1060103010</v>
      </c>
      <c r="C22" s="74">
        <v>109.4</v>
      </c>
      <c r="D22" s="70"/>
      <c r="E22" s="74">
        <f>C22+D22</f>
        <v>109.4</v>
      </c>
      <c r="F22" s="74">
        <f>18</f>
        <v>18</v>
      </c>
      <c r="G22" s="74">
        <v>17.2</v>
      </c>
      <c r="H22" s="70">
        <f>G22+M22</f>
        <v>23.799999999999997</v>
      </c>
      <c r="I22" s="85">
        <f t="shared" si="1"/>
        <v>0.2175502742230347</v>
      </c>
      <c r="J22" s="85">
        <f t="shared" si="5"/>
        <v>1.322222222222222</v>
      </c>
      <c r="K22" s="83">
        <v>19.3</v>
      </c>
      <c r="L22" s="85">
        <f t="shared" si="4"/>
        <v>1.2331606217616577</v>
      </c>
      <c r="M22" s="74">
        <v>6.6</v>
      </c>
      <c r="N22" s="83">
        <v>6</v>
      </c>
      <c r="O22" s="85">
        <f t="shared" si="2"/>
        <v>1.0999999999999999</v>
      </c>
      <c r="P22" s="74">
        <v>10</v>
      </c>
      <c r="Q22" s="74">
        <v>7.1</v>
      </c>
      <c r="R22" s="74">
        <v>6.7</v>
      </c>
    </row>
    <row r="23" spans="1:18" ht="18">
      <c r="A23" s="9" t="s">
        <v>86</v>
      </c>
      <c r="B23" s="30">
        <v>1080402001</v>
      </c>
      <c r="C23" s="75">
        <v>5</v>
      </c>
      <c r="D23" s="76"/>
      <c r="E23" s="75">
        <f>C23+D23</f>
        <v>5</v>
      </c>
      <c r="F23" s="75">
        <f>3.9+1.1</f>
        <v>5</v>
      </c>
      <c r="G23" s="75">
        <v>8.8</v>
      </c>
      <c r="H23" s="76">
        <f>G23+M23</f>
        <v>9</v>
      </c>
      <c r="I23" s="96">
        <f t="shared" si="1"/>
        <v>1.8</v>
      </c>
      <c r="J23" s="96">
        <f t="shared" si="5"/>
        <v>1.8</v>
      </c>
      <c r="K23" s="84">
        <v>5.3</v>
      </c>
      <c r="L23" s="96">
        <f t="shared" si="4"/>
        <v>1.6981132075471699</v>
      </c>
      <c r="M23" s="75">
        <v>0.2</v>
      </c>
      <c r="N23" s="84">
        <v>0.2</v>
      </c>
      <c r="O23" s="96">
        <f t="shared" si="2"/>
        <v>1</v>
      </c>
      <c r="P23" s="75"/>
      <c r="Q23" s="75"/>
      <c r="R23" s="75"/>
    </row>
    <row r="24" spans="1:18" ht="18">
      <c r="A24" s="9" t="s">
        <v>87</v>
      </c>
      <c r="B24" s="30">
        <v>1090405010</v>
      </c>
      <c r="C24" s="75"/>
      <c r="D24" s="75"/>
      <c r="E24" s="75">
        <f>C24+D24</f>
        <v>0</v>
      </c>
      <c r="F24" s="75"/>
      <c r="G24" s="75"/>
      <c r="H24" s="76">
        <f>G24+M24</f>
        <v>0</v>
      </c>
      <c r="I24" s="96">
        <f t="shared" si="1"/>
        <v>0</v>
      </c>
      <c r="J24" s="96">
        <f t="shared" si="5"/>
        <v>0</v>
      </c>
      <c r="K24" s="84"/>
      <c r="L24" s="96">
        <f t="shared" si="4"/>
        <v>0</v>
      </c>
      <c r="M24" s="75"/>
      <c r="N24" s="84"/>
      <c r="O24" s="96">
        <f t="shared" si="2"/>
        <v>0</v>
      </c>
      <c r="P24" s="75"/>
      <c r="Q24" s="75"/>
      <c r="R24" s="75"/>
    </row>
    <row r="25" spans="1:18" ht="18">
      <c r="A25" s="32" t="s">
        <v>27</v>
      </c>
      <c r="B25" s="32"/>
      <c r="C25" s="95">
        <f aca="true" t="shared" si="10" ref="C25:H25">C26+C29+C33+C30+C32+C31</f>
        <v>210.4</v>
      </c>
      <c r="D25" s="95">
        <f t="shared" si="10"/>
        <v>222</v>
      </c>
      <c r="E25" s="95">
        <f t="shared" si="10"/>
        <v>432.4</v>
      </c>
      <c r="F25" s="95">
        <f t="shared" si="10"/>
        <v>159.4</v>
      </c>
      <c r="G25" s="95">
        <f>G26+G29+G33+G30+G32+G31</f>
        <v>247.2</v>
      </c>
      <c r="H25" s="95">
        <f t="shared" si="10"/>
        <v>302.1</v>
      </c>
      <c r="I25" s="100">
        <f t="shared" si="1"/>
        <v>0.698658649398705</v>
      </c>
      <c r="J25" s="100">
        <f t="shared" si="5"/>
        <v>1.895232120451694</v>
      </c>
      <c r="K25" s="95">
        <f>K26+K29+K33+K30+K32+K31</f>
        <v>117.7</v>
      </c>
      <c r="L25" s="100">
        <f t="shared" si="4"/>
        <v>2.566694987255735</v>
      </c>
      <c r="M25" s="95">
        <f>M26+M29+M33+M30+M32+M31</f>
        <v>54.9</v>
      </c>
      <c r="N25" s="95">
        <f>N26+N29+N33+N30+N32+N31</f>
        <v>8.5</v>
      </c>
      <c r="O25" s="100">
        <f t="shared" si="2"/>
        <v>6.458823529411765</v>
      </c>
      <c r="P25" s="81">
        <f>P26+P29+P33+P30</f>
        <v>3.8</v>
      </c>
      <c r="Q25" s="81">
        <f>Q26+Q29+Q33+Q30</f>
        <v>19.1</v>
      </c>
      <c r="R25" s="81">
        <f>R26+R29+R33+R30</f>
        <v>19.1</v>
      </c>
    </row>
    <row r="26" spans="1:18" ht="18">
      <c r="A26" s="9" t="s">
        <v>88</v>
      </c>
      <c r="B26" s="30">
        <v>1110000000</v>
      </c>
      <c r="C26" s="75">
        <f aca="true" t="shared" si="11" ref="C26:H26">C27+C28</f>
        <v>200.4</v>
      </c>
      <c r="D26" s="75">
        <f t="shared" si="11"/>
        <v>72</v>
      </c>
      <c r="E26" s="75">
        <f t="shared" si="11"/>
        <v>272.4</v>
      </c>
      <c r="F26" s="75">
        <f t="shared" si="11"/>
        <v>129.4</v>
      </c>
      <c r="G26" s="75">
        <f>G27+G28</f>
        <v>162.8</v>
      </c>
      <c r="H26" s="75">
        <f t="shared" si="11"/>
        <v>200.3</v>
      </c>
      <c r="I26" s="96">
        <f t="shared" si="1"/>
        <v>0.735315712187959</v>
      </c>
      <c r="J26" s="96">
        <f t="shared" si="5"/>
        <v>1.5479134466769706</v>
      </c>
      <c r="K26" s="75">
        <f>K27+K28</f>
        <v>116.8</v>
      </c>
      <c r="L26" s="96">
        <f t="shared" si="4"/>
        <v>1.7148972602739727</v>
      </c>
      <c r="M26" s="75">
        <f>M27+M28</f>
        <v>37.5</v>
      </c>
      <c r="N26" s="75">
        <f>N27+N28</f>
        <v>8.4</v>
      </c>
      <c r="O26" s="96">
        <f t="shared" si="2"/>
        <v>4.464285714285714</v>
      </c>
      <c r="P26" s="75">
        <f>P27+P28</f>
        <v>3.8</v>
      </c>
      <c r="Q26" s="75">
        <f>Q27+Q28</f>
        <v>19.1</v>
      </c>
      <c r="R26" s="75">
        <f>R27+R28</f>
        <v>19.1</v>
      </c>
    </row>
    <row r="27" spans="1:18" ht="18">
      <c r="A27" s="13" t="s">
        <v>31</v>
      </c>
      <c r="B27" s="13">
        <v>1110501013</v>
      </c>
      <c r="C27" s="74">
        <v>52.6</v>
      </c>
      <c r="D27" s="70">
        <v>72</v>
      </c>
      <c r="E27" s="74">
        <f aca="true" t="shared" si="12" ref="E27:E32">C27+D27</f>
        <v>124.6</v>
      </c>
      <c r="F27" s="74">
        <f>72</f>
        <v>72</v>
      </c>
      <c r="G27" s="74">
        <v>103.6</v>
      </c>
      <c r="H27" s="70">
        <f aca="true" t="shared" si="13" ref="H27:H32">G27+M27</f>
        <v>136.3</v>
      </c>
      <c r="I27" s="85">
        <f t="shared" si="1"/>
        <v>1.0939004815409312</v>
      </c>
      <c r="J27" s="85">
        <f t="shared" si="5"/>
        <v>1.8930555555555557</v>
      </c>
      <c r="K27" s="70">
        <v>41</v>
      </c>
      <c r="L27" s="85">
        <f t="shared" si="4"/>
        <v>3.3243902439024393</v>
      </c>
      <c r="M27" s="74">
        <v>32.7</v>
      </c>
      <c r="N27" s="70">
        <v>4.4</v>
      </c>
      <c r="O27" s="85">
        <f t="shared" si="2"/>
        <v>7.431818181818182</v>
      </c>
      <c r="P27" s="74">
        <v>3.8</v>
      </c>
      <c r="Q27" s="74">
        <v>19.1</v>
      </c>
      <c r="R27" s="74">
        <v>19.1</v>
      </c>
    </row>
    <row r="28" spans="1:18" ht="18">
      <c r="A28" s="33" t="s">
        <v>28</v>
      </c>
      <c r="B28" s="13">
        <v>1110904510</v>
      </c>
      <c r="C28" s="74">
        <v>147.8</v>
      </c>
      <c r="D28" s="70"/>
      <c r="E28" s="74">
        <f t="shared" si="12"/>
        <v>147.8</v>
      </c>
      <c r="F28" s="74">
        <f>15.4+21+21</f>
        <v>57.4</v>
      </c>
      <c r="G28" s="74">
        <v>59.2</v>
      </c>
      <c r="H28" s="70">
        <f t="shared" si="13"/>
        <v>64</v>
      </c>
      <c r="I28" s="85">
        <f t="shared" si="1"/>
        <v>0.4330175913396481</v>
      </c>
      <c r="J28" s="85">
        <f t="shared" si="5"/>
        <v>1.1149825783972125</v>
      </c>
      <c r="K28" s="83">
        <v>75.8</v>
      </c>
      <c r="L28" s="85">
        <f t="shared" si="4"/>
        <v>0.8443271767810027</v>
      </c>
      <c r="M28" s="74">
        <v>4.8</v>
      </c>
      <c r="N28" s="83">
        <v>4</v>
      </c>
      <c r="O28" s="85">
        <f t="shared" si="2"/>
        <v>1.2</v>
      </c>
      <c r="P28" s="74"/>
      <c r="Q28" s="74"/>
      <c r="R28" s="74"/>
    </row>
    <row r="29" spans="1:18" ht="18">
      <c r="A29" s="9" t="s">
        <v>46</v>
      </c>
      <c r="B29" s="30">
        <v>1130299510</v>
      </c>
      <c r="C29" s="75">
        <v>5</v>
      </c>
      <c r="D29" s="75">
        <f>150</f>
        <v>150</v>
      </c>
      <c r="E29" s="75">
        <f t="shared" si="12"/>
        <v>155</v>
      </c>
      <c r="F29" s="75">
        <f>30</f>
        <v>30</v>
      </c>
      <c r="G29" s="75">
        <v>78.6</v>
      </c>
      <c r="H29" s="76">
        <f t="shared" si="13"/>
        <v>96</v>
      </c>
      <c r="I29" s="96">
        <f t="shared" si="1"/>
        <v>0.6193548387096774</v>
      </c>
      <c r="J29" s="96">
        <f t="shared" si="5"/>
        <v>3.2</v>
      </c>
      <c r="K29" s="84"/>
      <c r="L29" s="96">
        <f t="shared" si="4"/>
        <v>0</v>
      </c>
      <c r="M29" s="75">
        <v>17.4</v>
      </c>
      <c r="N29" s="84"/>
      <c r="O29" s="96">
        <f t="shared" si="2"/>
        <v>0</v>
      </c>
      <c r="P29" s="75"/>
      <c r="Q29" s="75"/>
      <c r="R29" s="75"/>
    </row>
    <row r="30" spans="1:18" ht="18">
      <c r="A30" s="9" t="s">
        <v>90</v>
      </c>
      <c r="B30" s="30">
        <v>1140601410</v>
      </c>
      <c r="C30" s="75"/>
      <c r="D30" s="75"/>
      <c r="E30" s="75">
        <f t="shared" si="12"/>
        <v>0</v>
      </c>
      <c r="F30" s="75"/>
      <c r="G30" s="75">
        <v>5.7</v>
      </c>
      <c r="H30" s="76">
        <f t="shared" si="13"/>
        <v>5.7</v>
      </c>
      <c r="I30" s="96">
        <f>IF(E30&gt;0,H30/E30,0)</f>
        <v>0</v>
      </c>
      <c r="J30" s="96">
        <f>IF(F30&gt;0,H30/F30,0)</f>
        <v>0</v>
      </c>
      <c r="K30" s="84"/>
      <c r="L30" s="96">
        <f t="shared" si="4"/>
        <v>0</v>
      </c>
      <c r="M30" s="75"/>
      <c r="N30" s="84"/>
      <c r="O30" s="96">
        <f t="shared" si="2"/>
        <v>0</v>
      </c>
      <c r="P30" s="75"/>
      <c r="Q30" s="75"/>
      <c r="R30" s="75"/>
    </row>
    <row r="31" spans="1:18" ht="18">
      <c r="A31" s="9" t="s">
        <v>89</v>
      </c>
      <c r="B31" s="30">
        <v>1140205310</v>
      </c>
      <c r="C31" s="75"/>
      <c r="D31" s="75"/>
      <c r="E31" s="75">
        <f t="shared" si="12"/>
        <v>0</v>
      </c>
      <c r="F31" s="75"/>
      <c r="G31" s="75"/>
      <c r="H31" s="76">
        <f t="shared" si="13"/>
        <v>0</v>
      </c>
      <c r="I31" s="96">
        <f>IF(E31&gt;0,H31/E31,0)</f>
        <v>0</v>
      </c>
      <c r="J31" s="96">
        <f>IF(F31&gt;0,H31/F31,0)</f>
        <v>0</v>
      </c>
      <c r="K31" s="84"/>
      <c r="L31" s="96">
        <f t="shared" si="4"/>
        <v>0</v>
      </c>
      <c r="M31" s="75"/>
      <c r="N31" s="84"/>
      <c r="O31" s="96">
        <f t="shared" si="2"/>
        <v>0</v>
      </c>
      <c r="P31" s="75"/>
      <c r="Q31" s="75"/>
      <c r="R31" s="75"/>
    </row>
    <row r="32" spans="1:18" ht="18">
      <c r="A32" s="9" t="s">
        <v>93</v>
      </c>
      <c r="B32" s="30">
        <v>1169005010</v>
      </c>
      <c r="C32" s="75">
        <v>5</v>
      </c>
      <c r="D32" s="75"/>
      <c r="E32" s="75">
        <f t="shared" si="12"/>
        <v>5</v>
      </c>
      <c r="F32" s="75"/>
      <c r="G32" s="75"/>
      <c r="H32" s="76">
        <f t="shared" si="13"/>
        <v>0</v>
      </c>
      <c r="I32" s="96">
        <f>IF(E32&gt;0,H32/E32,0)</f>
        <v>0</v>
      </c>
      <c r="J32" s="96">
        <f>IF(F32&gt;0,H32/F32,0)</f>
        <v>0</v>
      </c>
      <c r="K32" s="84">
        <v>0.7</v>
      </c>
      <c r="L32" s="96">
        <f t="shared" si="4"/>
        <v>0</v>
      </c>
      <c r="M32" s="75"/>
      <c r="N32" s="84"/>
      <c r="O32" s="96">
        <f t="shared" si="2"/>
        <v>0</v>
      </c>
      <c r="P32" s="75"/>
      <c r="Q32" s="75"/>
      <c r="R32" s="75"/>
    </row>
    <row r="33" spans="1:18" ht="18">
      <c r="A33" s="9" t="s">
        <v>83</v>
      </c>
      <c r="B33" s="30">
        <v>1170000000</v>
      </c>
      <c r="C33" s="75">
        <f>SUM(C34:C35)</f>
        <v>0</v>
      </c>
      <c r="D33" s="75">
        <f aca="true" t="shared" si="14" ref="D33:R33">SUM(D34:D35)</f>
        <v>0</v>
      </c>
      <c r="E33" s="75">
        <f t="shared" si="14"/>
        <v>0</v>
      </c>
      <c r="F33" s="75">
        <f t="shared" si="14"/>
        <v>0</v>
      </c>
      <c r="G33" s="75">
        <f>SUM(G34:G35)</f>
        <v>0.1</v>
      </c>
      <c r="H33" s="75">
        <f t="shared" si="14"/>
        <v>0.1</v>
      </c>
      <c r="I33" s="96">
        <f>IF(E33&gt;0,H33/E33,0)</f>
        <v>0</v>
      </c>
      <c r="J33" s="96">
        <f>IF(F33&gt;0,H33/F33,0)</f>
        <v>0</v>
      </c>
      <c r="K33" s="75">
        <f>SUM(K34:K35)</f>
        <v>0.2</v>
      </c>
      <c r="L33" s="96">
        <f t="shared" si="4"/>
        <v>0.5</v>
      </c>
      <c r="M33" s="75">
        <f t="shared" si="14"/>
        <v>0</v>
      </c>
      <c r="N33" s="75">
        <f>SUM(N34:N35)</f>
        <v>0.1</v>
      </c>
      <c r="O33" s="96">
        <f t="shared" si="2"/>
        <v>0</v>
      </c>
      <c r="P33" s="75">
        <f t="shared" si="14"/>
        <v>0</v>
      </c>
      <c r="Q33" s="75">
        <f>SUM(Q34:Q35)</f>
        <v>0</v>
      </c>
      <c r="R33" s="75">
        <f t="shared" si="14"/>
        <v>0</v>
      </c>
    </row>
    <row r="34" spans="1:18" ht="18">
      <c r="A34" s="13" t="s">
        <v>10</v>
      </c>
      <c r="B34" s="13">
        <v>1170103003</v>
      </c>
      <c r="C34" s="74"/>
      <c r="D34" s="74"/>
      <c r="E34" s="74">
        <f>C34+D34</f>
        <v>0</v>
      </c>
      <c r="F34" s="74"/>
      <c r="G34" s="74"/>
      <c r="H34" s="70">
        <f>G34+M34</f>
        <v>0</v>
      </c>
      <c r="I34" s="85">
        <f t="shared" si="1"/>
        <v>0</v>
      </c>
      <c r="J34" s="85">
        <f t="shared" si="5"/>
        <v>0</v>
      </c>
      <c r="K34" s="83"/>
      <c r="L34" s="85">
        <f t="shared" si="4"/>
        <v>0</v>
      </c>
      <c r="M34" s="74"/>
      <c r="N34" s="83"/>
      <c r="O34" s="85">
        <f t="shared" si="2"/>
        <v>0</v>
      </c>
      <c r="P34" s="85"/>
      <c r="Q34" s="85"/>
      <c r="R34" s="85"/>
    </row>
    <row r="35" spans="1:18" ht="18">
      <c r="A35" s="13" t="s">
        <v>41</v>
      </c>
      <c r="B35" s="13">
        <v>1170505010</v>
      </c>
      <c r="C35" s="74"/>
      <c r="D35" s="70"/>
      <c r="E35" s="74">
        <f>C35+D35</f>
        <v>0</v>
      </c>
      <c r="F35" s="74"/>
      <c r="G35" s="74">
        <v>0.1</v>
      </c>
      <c r="H35" s="70">
        <f>G35+M35</f>
        <v>0.1</v>
      </c>
      <c r="I35" s="85">
        <f>IF(E35&gt;0,H35/E35,0)</f>
        <v>0</v>
      </c>
      <c r="J35" s="85">
        <f>IF(F35&gt;0,H35/F35,0)</f>
        <v>0</v>
      </c>
      <c r="K35" s="83">
        <v>0.2</v>
      </c>
      <c r="L35" s="85">
        <f>IF(K35&gt;0,H35/K35,0)</f>
        <v>0.5</v>
      </c>
      <c r="M35" s="74"/>
      <c r="N35" s="83">
        <v>0.1</v>
      </c>
      <c r="O35" s="85">
        <f>IF(N35&gt;0,M35/N35,0)</f>
        <v>0</v>
      </c>
      <c r="P35" s="74"/>
      <c r="Q35" s="74"/>
      <c r="R35" s="74"/>
    </row>
    <row r="36" spans="1:18" ht="18">
      <c r="A36" s="9" t="s">
        <v>8</v>
      </c>
      <c r="B36" s="9">
        <v>1000000000</v>
      </c>
      <c r="C36" s="87">
        <f aca="true" t="shared" si="15" ref="C36:H36">C5+C25</f>
        <v>1651.4</v>
      </c>
      <c r="D36" s="87">
        <f t="shared" si="15"/>
        <v>272</v>
      </c>
      <c r="E36" s="87">
        <f t="shared" si="15"/>
        <v>1923.4</v>
      </c>
      <c r="F36" s="87">
        <f t="shared" si="15"/>
        <v>1136.2</v>
      </c>
      <c r="G36" s="87">
        <f>G5+G25</f>
        <v>1054.4</v>
      </c>
      <c r="H36" s="87">
        <f t="shared" si="15"/>
        <v>1188.4</v>
      </c>
      <c r="I36" s="101">
        <f t="shared" si="1"/>
        <v>0.6178641988145992</v>
      </c>
      <c r="J36" s="101">
        <f t="shared" si="5"/>
        <v>1.045942615736666</v>
      </c>
      <c r="K36" s="87">
        <f>K5+K25</f>
        <v>710.7</v>
      </c>
      <c r="L36" s="101">
        <f t="shared" si="4"/>
        <v>1.6721542141550585</v>
      </c>
      <c r="M36" s="87">
        <f>M5+M25</f>
        <v>134</v>
      </c>
      <c r="N36" s="87">
        <f>N5+N25</f>
        <v>66.5</v>
      </c>
      <c r="O36" s="101">
        <f t="shared" si="2"/>
        <v>2.0150375939849625</v>
      </c>
      <c r="P36" s="87">
        <f>P5+P25</f>
        <v>132.70000000000002</v>
      </c>
      <c r="Q36" s="87">
        <f>Q5+Q25</f>
        <v>138.5</v>
      </c>
      <c r="R36" s="87">
        <f>R5+R25</f>
        <v>137.4</v>
      </c>
    </row>
    <row r="37" spans="1:18" ht="18">
      <c r="A37" s="9" t="s">
        <v>111</v>
      </c>
      <c r="B37" s="9"/>
      <c r="C37" s="87">
        <f aca="true" t="shared" si="16" ref="C37:H37">C36-C11</f>
        <v>1227.8000000000002</v>
      </c>
      <c r="D37" s="87">
        <f t="shared" si="16"/>
        <v>272</v>
      </c>
      <c r="E37" s="87">
        <f t="shared" si="16"/>
        <v>1499.8000000000002</v>
      </c>
      <c r="F37" s="87">
        <f t="shared" si="16"/>
        <v>822.2</v>
      </c>
      <c r="G37" s="87">
        <f t="shared" si="16"/>
        <v>825.6000000000001</v>
      </c>
      <c r="H37" s="87">
        <f t="shared" si="16"/>
        <v>933.0000000000001</v>
      </c>
      <c r="I37" s="101">
        <f>IF(E37&gt;0,H37/E37,0)</f>
        <v>0.6220829443925857</v>
      </c>
      <c r="J37" s="101">
        <f>IF(F37&gt;0,H37/F37,0)</f>
        <v>1.1347603989297008</v>
      </c>
      <c r="K37" s="87">
        <f>K36-K11</f>
        <v>710.7</v>
      </c>
      <c r="L37" s="101">
        <f t="shared" si="4"/>
        <v>1.3127902068383286</v>
      </c>
      <c r="M37" s="87">
        <f>M36-M11</f>
        <v>107.4</v>
      </c>
      <c r="N37" s="87">
        <f>N36-N11</f>
        <v>66.5</v>
      </c>
      <c r="O37" s="101">
        <f t="shared" si="2"/>
        <v>1.6150375939849624</v>
      </c>
      <c r="P37" s="87"/>
      <c r="Q37" s="87"/>
      <c r="R37" s="87"/>
    </row>
    <row r="38" spans="1:18" ht="18">
      <c r="A38" s="13" t="s">
        <v>30</v>
      </c>
      <c r="B38" s="13">
        <v>2000000000</v>
      </c>
      <c r="C38" s="74">
        <v>728.6</v>
      </c>
      <c r="D38" s="92">
        <f>386.952</f>
        <v>386.952</v>
      </c>
      <c r="E38" s="92">
        <f>C38+D38</f>
        <v>1115.5520000000001</v>
      </c>
      <c r="F38" s="74">
        <f>240+110+546.952+10</f>
        <v>906.952</v>
      </c>
      <c r="G38" s="74">
        <v>539.1</v>
      </c>
      <c r="H38" s="70">
        <f>G38+M38</f>
        <v>565.3000000000001</v>
      </c>
      <c r="I38" s="85">
        <f t="shared" si="1"/>
        <v>0.5067446430108143</v>
      </c>
      <c r="J38" s="85">
        <f t="shared" si="5"/>
        <v>0.6232964919863455</v>
      </c>
      <c r="K38" s="98">
        <v>858</v>
      </c>
      <c r="L38" s="85">
        <f t="shared" si="4"/>
        <v>0.658857808857809</v>
      </c>
      <c r="M38" s="74">
        <v>26.2</v>
      </c>
      <c r="N38" s="98">
        <v>96.6</v>
      </c>
      <c r="O38" s="85">
        <f t="shared" si="2"/>
        <v>0.27122153209109734</v>
      </c>
      <c r="P38" s="74"/>
      <c r="Q38" s="74"/>
      <c r="R38" s="74"/>
    </row>
    <row r="39" spans="1:18" ht="18">
      <c r="A39" s="13" t="s">
        <v>55</v>
      </c>
      <c r="B39" s="34" t="s">
        <v>45</v>
      </c>
      <c r="C39" s="74"/>
      <c r="D39" s="90">
        <f>100</f>
        <v>100</v>
      </c>
      <c r="E39" s="74">
        <f>C39+D39</f>
        <v>100</v>
      </c>
      <c r="F39" s="74"/>
      <c r="G39" s="74">
        <v>100</v>
      </c>
      <c r="H39" s="70">
        <f>G39+M39</f>
        <v>100</v>
      </c>
      <c r="I39" s="85">
        <f>IF(E39&gt;0,H39/E39,0)</f>
        <v>1</v>
      </c>
      <c r="J39" s="85">
        <f>IF(F39&gt;0,H39/F39,0)</f>
        <v>0</v>
      </c>
      <c r="K39" s="98"/>
      <c r="L39" s="85"/>
      <c r="M39" s="74"/>
      <c r="N39" s="98"/>
      <c r="O39" s="85">
        <f t="shared" si="2"/>
        <v>0</v>
      </c>
      <c r="P39" s="74"/>
      <c r="Q39" s="74"/>
      <c r="R39" s="74"/>
    </row>
    <row r="40" spans="1:18" ht="18">
      <c r="A40" s="9" t="s">
        <v>2</v>
      </c>
      <c r="B40" s="9">
        <v>0</v>
      </c>
      <c r="C40" s="87">
        <f aca="true" t="shared" si="17" ref="C40:H40">C36+C38+C39</f>
        <v>2380</v>
      </c>
      <c r="D40" s="87">
        <f t="shared" si="17"/>
        <v>758.952</v>
      </c>
      <c r="E40" s="86">
        <f t="shared" si="17"/>
        <v>3138.952</v>
      </c>
      <c r="F40" s="87">
        <f t="shared" si="17"/>
        <v>2043.152</v>
      </c>
      <c r="G40" s="87">
        <f t="shared" si="17"/>
        <v>1693.5</v>
      </c>
      <c r="H40" s="87">
        <f t="shared" si="17"/>
        <v>1853.7000000000003</v>
      </c>
      <c r="I40" s="101">
        <f t="shared" si="1"/>
        <v>0.5905474183740306</v>
      </c>
      <c r="J40" s="101"/>
      <c r="K40" s="87">
        <f>K36+K38+K39</f>
        <v>1568.7</v>
      </c>
      <c r="L40" s="101">
        <f t="shared" si="4"/>
        <v>1.1816790973417481</v>
      </c>
      <c r="M40" s="87">
        <f>M36+M38+M39</f>
        <v>160.2</v>
      </c>
      <c r="N40" s="87">
        <f>N36+N38+N39</f>
        <v>163.1</v>
      </c>
      <c r="O40" s="101">
        <f t="shared" si="2"/>
        <v>0.9822194972409565</v>
      </c>
      <c r="P40" s="102">
        <f>P36+P38</f>
        <v>132.70000000000002</v>
      </c>
      <c r="Q40" s="87">
        <f>Q36+Q38</f>
        <v>138.5</v>
      </c>
      <c r="R40" s="87">
        <f>R36+R38</f>
        <v>137.4</v>
      </c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8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0.875" style="0" customWidth="1"/>
    <col min="4" max="4" width="11.375" style="0" customWidth="1"/>
    <col min="5" max="5" width="13.25390625" style="0" customWidth="1"/>
    <col min="6" max="6" width="9.625" style="0" customWidth="1"/>
    <col min="7" max="7" width="10.75390625" style="0" customWidth="1"/>
    <col min="8" max="8" width="11.375" style="0" customWidth="1"/>
    <col min="9" max="9" width="12.375" style="0" customWidth="1"/>
    <col min="10" max="10" width="12.25390625" style="0" customWidth="1"/>
    <col min="11" max="11" width="10.875" style="0" customWidth="1"/>
    <col min="12" max="12" width="12.00390625" style="0" customWidth="1"/>
    <col min="13" max="13" width="10.00390625" style="0" customWidth="1"/>
    <col min="14" max="14" width="9.875" style="0" customWidth="1"/>
    <col min="15" max="15" width="14.0039062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38" t="s">
        <v>13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49"/>
      <c r="O1" s="49"/>
      <c r="P1" s="26"/>
      <c r="Q1" s="26"/>
      <c r="R1" s="26"/>
    </row>
    <row r="2" spans="1:18" ht="15.75">
      <c r="A2" s="26"/>
      <c r="B2" s="149" t="s">
        <v>125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3.5" customHeight="1">
      <c r="A3" s="136" t="s">
        <v>4</v>
      </c>
      <c r="B3" s="136" t="s">
        <v>6</v>
      </c>
      <c r="C3" s="140" t="s">
        <v>58</v>
      </c>
      <c r="D3" s="140" t="s">
        <v>29</v>
      </c>
      <c r="E3" s="142" t="s">
        <v>59</v>
      </c>
      <c r="F3" s="136" t="s">
        <v>109</v>
      </c>
      <c r="G3" s="136" t="s">
        <v>110</v>
      </c>
      <c r="H3" s="136" t="s">
        <v>60</v>
      </c>
      <c r="I3" s="136"/>
      <c r="J3" s="136"/>
      <c r="K3" s="136" t="s">
        <v>57</v>
      </c>
      <c r="L3" s="136"/>
      <c r="M3" s="136" t="s">
        <v>115</v>
      </c>
      <c r="N3" s="136" t="s">
        <v>116</v>
      </c>
      <c r="O3" s="141" t="s">
        <v>23</v>
      </c>
      <c r="P3" s="141" t="s">
        <v>11</v>
      </c>
      <c r="Q3" s="141"/>
      <c r="R3" s="141"/>
    </row>
    <row r="4" spans="1:18" ht="104.25" customHeight="1">
      <c r="A4" s="147"/>
      <c r="B4" s="147"/>
      <c r="C4" s="144"/>
      <c r="D4" s="144"/>
      <c r="E4" s="148"/>
      <c r="F4" s="136"/>
      <c r="G4" s="136"/>
      <c r="H4" s="47" t="s">
        <v>114</v>
      </c>
      <c r="I4" s="47" t="s">
        <v>12</v>
      </c>
      <c r="J4" s="47" t="s">
        <v>34</v>
      </c>
      <c r="K4" s="47" t="s">
        <v>114</v>
      </c>
      <c r="L4" s="47" t="s">
        <v>35</v>
      </c>
      <c r="M4" s="136"/>
      <c r="N4" s="136"/>
      <c r="O4" s="141"/>
      <c r="P4" s="133" t="s">
        <v>61</v>
      </c>
      <c r="Q4" s="134" t="s">
        <v>112</v>
      </c>
      <c r="R4" s="134" t="s">
        <v>120</v>
      </c>
    </row>
    <row r="5" spans="1:18" ht="20.25" customHeight="1">
      <c r="A5" s="29" t="s">
        <v>26</v>
      </c>
      <c r="B5" s="29"/>
      <c r="C5" s="99">
        <f aca="true" t="shared" si="0" ref="C5:H5">C6+C16+C18+C23+C24+C11</f>
        <v>925.3</v>
      </c>
      <c r="D5" s="99">
        <f t="shared" si="0"/>
        <v>-20</v>
      </c>
      <c r="E5" s="99">
        <f t="shared" si="0"/>
        <v>905.3</v>
      </c>
      <c r="F5" s="99">
        <f t="shared" si="0"/>
        <v>450.4</v>
      </c>
      <c r="G5" s="99">
        <f t="shared" si="0"/>
        <v>519.5</v>
      </c>
      <c r="H5" s="99">
        <f t="shared" si="0"/>
        <v>578.8</v>
      </c>
      <c r="I5" s="100">
        <f aca="true" t="shared" si="1" ref="I5:I40">IF(E5&gt;0,H5/E5,0)</f>
        <v>0.639346073124931</v>
      </c>
      <c r="J5" s="100">
        <f>IF(F5&gt;0,H5/F5,0)</f>
        <v>1.2850799289520425</v>
      </c>
      <c r="K5" s="99">
        <f>K6+K16+K18+K23+K24+K11</f>
        <v>211</v>
      </c>
      <c r="L5" s="100">
        <f>IF(K5&gt;0,H5/K5,0)</f>
        <v>2.7431279620853077</v>
      </c>
      <c r="M5" s="99">
        <f>M6+M16+M18+M23+M24+M11</f>
        <v>59.3</v>
      </c>
      <c r="N5" s="99">
        <f>N6+N16+N18+N23+N24+N11</f>
        <v>28.300000000000004</v>
      </c>
      <c r="O5" s="100">
        <f aca="true" t="shared" si="2" ref="O5:O33">IF(N5&gt;0,M5/N5,0)</f>
        <v>2.095406360424028</v>
      </c>
      <c r="P5" s="99">
        <f>P6+P16+P18+P23+P24+P11</f>
        <v>104.30000000000001</v>
      </c>
      <c r="Q5" s="99">
        <f>Q6+Q16+Q18+Q23+Q24+Q11</f>
        <v>49.8</v>
      </c>
      <c r="R5" s="99">
        <f>R6+R16+R18+R23+R24+R11</f>
        <v>49.300000000000004</v>
      </c>
    </row>
    <row r="6" spans="1:18" ht="18">
      <c r="A6" s="9" t="s">
        <v>77</v>
      </c>
      <c r="B6" s="30">
        <v>1010200001</v>
      </c>
      <c r="C6" s="75">
        <f aca="true" t="shared" si="3" ref="C6:H6">C7+C8+C9+C10</f>
        <v>218.9</v>
      </c>
      <c r="D6" s="75">
        <f t="shared" si="3"/>
        <v>-20</v>
      </c>
      <c r="E6" s="75">
        <f t="shared" si="3"/>
        <v>198.9</v>
      </c>
      <c r="F6" s="75">
        <f t="shared" si="3"/>
        <v>145.6</v>
      </c>
      <c r="G6" s="75">
        <f t="shared" si="3"/>
        <v>119.8</v>
      </c>
      <c r="H6" s="75">
        <f t="shared" si="3"/>
        <v>130.5</v>
      </c>
      <c r="I6" s="96">
        <f t="shared" si="1"/>
        <v>0.6561085972850679</v>
      </c>
      <c r="J6" s="96">
        <f>IF(F6&gt;0,H6/F6,0)</f>
        <v>0.8962912087912088</v>
      </c>
      <c r="K6" s="75">
        <f>K7+K8+K9+K10</f>
        <v>125.8</v>
      </c>
      <c r="L6" s="96">
        <f aca="true" t="shared" si="4" ref="L6:L40">IF(K6&gt;0,H6/K6,0)</f>
        <v>1.0373608903020668</v>
      </c>
      <c r="M6" s="75">
        <f>M7+M8+M9+M10</f>
        <v>10.7</v>
      </c>
      <c r="N6" s="75">
        <f>N7+N8+N9+N10</f>
        <v>14.9</v>
      </c>
      <c r="O6" s="96">
        <f t="shared" si="2"/>
        <v>0.7181208053691275</v>
      </c>
      <c r="P6" s="75">
        <f>P7+P8+P9+P10</f>
        <v>0</v>
      </c>
      <c r="Q6" s="75">
        <f>Q7+Q8+Q9+Q10</f>
        <v>0</v>
      </c>
      <c r="R6" s="75">
        <f>R7+R8+R9+R10</f>
        <v>0</v>
      </c>
    </row>
    <row r="7" spans="1:18" ht="18" customHeight="1">
      <c r="A7" s="10" t="s">
        <v>53</v>
      </c>
      <c r="B7" s="13">
        <v>1010201001</v>
      </c>
      <c r="C7" s="74">
        <v>218.9</v>
      </c>
      <c r="D7" s="70">
        <v>-20</v>
      </c>
      <c r="E7" s="74">
        <f>C7+D7</f>
        <v>198.9</v>
      </c>
      <c r="F7" s="74">
        <f>36.4+54.6+54.6</f>
        <v>145.6</v>
      </c>
      <c r="G7" s="70">
        <v>119.7</v>
      </c>
      <c r="H7" s="70">
        <f>G7+M7</f>
        <v>130.4</v>
      </c>
      <c r="I7" s="85">
        <f t="shared" si="1"/>
        <v>0.6556058320764203</v>
      </c>
      <c r="J7" s="85">
        <f aca="true" t="shared" si="5" ref="J7:J38">IF(F7&gt;0,H7/F7,0)</f>
        <v>0.8956043956043956</v>
      </c>
      <c r="K7" s="70">
        <v>125.8</v>
      </c>
      <c r="L7" s="85">
        <f t="shared" si="4"/>
        <v>1.0365659777424483</v>
      </c>
      <c r="M7" s="70">
        <v>10.7</v>
      </c>
      <c r="N7" s="70">
        <v>14.9</v>
      </c>
      <c r="O7" s="85">
        <f t="shared" si="2"/>
        <v>0.7181208053691275</v>
      </c>
      <c r="P7" s="74"/>
      <c r="Q7" s="74"/>
      <c r="R7" s="74"/>
    </row>
    <row r="8" spans="1:18" ht="15" customHeight="1">
      <c r="A8" s="10" t="s">
        <v>52</v>
      </c>
      <c r="B8" s="13">
        <v>1010202001</v>
      </c>
      <c r="C8" s="74"/>
      <c r="D8" s="70"/>
      <c r="E8" s="74">
        <f>C8+D8</f>
        <v>0</v>
      </c>
      <c r="F8" s="74"/>
      <c r="G8" s="74"/>
      <c r="H8" s="70">
        <f>G8+M8</f>
        <v>0</v>
      </c>
      <c r="I8" s="85">
        <f t="shared" si="1"/>
        <v>0</v>
      </c>
      <c r="J8" s="85">
        <f t="shared" si="5"/>
        <v>0</v>
      </c>
      <c r="K8" s="74"/>
      <c r="L8" s="85">
        <f>IF(K8&gt;0,H8/K8,0)</f>
        <v>0</v>
      </c>
      <c r="M8" s="74"/>
      <c r="N8" s="74"/>
      <c r="O8" s="85">
        <f>IF(N8&gt;0,M8/N8,0)</f>
        <v>0</v>
      </c>
      <c r="P8" s="74"/>
      <c r="Q8" s="74"/>
      <c r="R8" s="74"/>
    </row>
    <row r="9" spans="1:18" ht="18">
      <c r="A9" s="10" t="s">
        <v>50</v>
      </c>
      <c r="B9" s="13">
        <v>1010203001</v>
      </c>
      <c r="C9" s="74"/>
      <c r="D9" s="74"/>
      <c r="E9" s="74">
        <f>C9+D9</f>
        <v>0</v>
      </c>
      <c r="F9" s="74"/>
      <c r="G9" s="74">
        <v>0.1</v>
      </c>
      <c r="H9" s="70">
        <f>G9+M9</f>
        <v>0.1</v>
      </c>
      <c r="I9" s="85">
        <f t="shared" si="1"/>
        <v>0</v>
      </c>
      <c r="J9" s="85">
        <f t="shared" si="5"/>
        <v>0</v>
      </c>
      <c r="K9" s="74"/>
      <c r="L9" s="85">
        <f t="shared" si="4"/>
        <v>0</v>
      </c>
      <c r="M9" s="74"/>
      <c r="N9" s="74"/>
      <c r="O9" s="85">
        <f t="shared" si="2"/>
        <v>0</v>
      </c>
      <c r="P9" s="74"/>
      <c r="Q9" s="74"/>
      <c r="R9" s="74"/>
    </row>
    <row r="10" spans="1:18" ht="15.75" customHeight="1" hidden="1">
      <c r="A10" s="10" t="s">
        <v>51</v>
      </c>
      <c r="B10" s="13">
        <v>1010204001</v>
      </c>
      <c r="C10" s="74"/>
      <c r="D10" s="74"/>
      <c r="E10" s="74">
        <f>C10+D10</f>
        <v>0</v>
      </c>
      <c r="F10" s="74"/>
      <c r="G10" s="74"/>
      <c r="H10" s="70">
        <f>G10+M10</f>
        <v>0</v>
      </c>
      <c r="I10" s="85">
        <f t="shared" si="1"/>
        <v>0</v>
      </c>
      <c r="J10" s="85">
        <f t="shared" si="5"/>
        <v>0</v>
      </c>
      <c r="K10" s="74"/>
      <c r="L10" s="85">
        <f t="shared" si="4"/>
        <v>0</v>
      </c>
      <c r="M10" s="74"/>
      <c r="N10" s="74"/>
      <c r="O10" s="85">
        <f t="shared" si="2"/>
        <v>0</v>
      </c>
      <c r="P10" s="74"/>
      <c r="Q10" s="74"/>
      <c r="R10" s="74"/>
    </row>
    <row r="11" spans="1:18" ht="15.75" customHeight="1">
      <c r="A11" s="11" t="s">
        <v>62</v>
      </c>
      <c r="B11" s="19">
        <v>1030200001</v>
      </c>
      <c r="C11" s="75">
        <f aca="true" t="shared" si="6" ref="C11:H11">SUM(C12:C15)</f>
        <v>590.9</v>
      </c>
      <c r="D11" s="75">
        <f t="shared" si="6"/>
        <v>0</v>
      </c>
      <c r="E11" s="75">
        <f t="shared" si="6"/>
        <v>590.9</v>
      </c>
      <c r="F11" s="75">
        <f t="shared" si="6"/>
        <v>295.79999999999995</v>
      </c>
      <c r="G11" s="75">
        <f>SUM(G12:G15)</f>
        <v>319.4</v>
      </c>
      <c r="H11" s="75">
        <f t="shared" si="6"/>
        <v>356.5</v>
      </c>
      <c r="I11" s="68">
        <f t="shared" si="1"/>
        <v>0.603316974107294</v>
      </c>
      <c r="J11" s="68">
        <f>IF(F11&gt;0,H11/F11,0)</f>
        <v>1.2052062204192024</v>
      </c>
      <c r="K11" s="75">
        <f>SUM(K12:K15)</f>
        <v>0</v>
      </c>
      <c r="L11" s="68">
        <f t="shared" si="4"/>
        <v>0</v>
      </c>
      <c r="M11" s="75">
        <f>SUM(M12:M15)</f>
        <v>37.1</v>
      </c>
      <c r="N11" s="75">
        <f>SUM(N12:N15)</f>
        <v>0</v>
      </c>
      <c r="O11" s="68">
        <f t="shared" si="2"/>
        <v>0</v>
      </c>
      <c r="P11" s="75">
        <f>SUM(P12:P15)</f>
        <v>0</v>
      </c>
      <c r="Q11" s="75">
        <f>SUM(Q12:Q15)</f>
        <v>0</v>
      </c>
      <c r="R11" s="75">
        <f>SUM(R12:R15)</f>
        <v>0</v>
      </c>
    </row>
    <row r="12" spans="1:18" ht="18.75" customHeight="1">
      <c r="A12" s="12" t="s">
        <v>63</v>
      </c>
      <c r="B12" s="12">
        <v>1030223001</v>
      </c>
      <c r="C12" s="74">
        <v>250.6</v>
      </c>
      <c r="D12" s="74"/>
      <c r="E12" s="69">
        <f>C12+D12</f>
        <v>250.6</v>
      </c>
      <c r="F12" s="69">
        <f>62.7+62.7</f>
        <v>125.4</v>
      </c>
      <c r="G12" s="74">
        <v>123.1</v>
      </c>
      <c r="H12" s="71">
        <f>G12+M12</f>
        <v>135.29999999999998</v>
      </c>
      <c r="I12" s="72">
        <f t="shared" si="1"/>
        <v>0.5399042298483638</v>
      </c>
      <c r="J12" s="72">
        <f>IF(F12&gt;0,H12/F12,0)</f>
        <v>1.0789473684210524</v>
      </c>
      <c r="K12" s="73"/>
      <c r="L12" s="72">
        <f t="shared" si="4"/>
        <v>0</v>
      </c>
      <c r="M12" s="74">
        <v>12.2</v>
      </c>
      <c r="N12" s="73"/>
      <c r="O12" s="72">
        <f t="shared" si="2"/>
        <v>0</v>
      </c>
      <c r="P12" s="74"/>
      <c r="Q12" s="74"/>
      <c r="R12" s="74"/>
    </row>
    <row r="13" spans="1:18" ht="15.75" customHeight="1">
      <c r="A13" s="12" t="s">
        <v>64</v>
      </c>
      <c r="B13" s="12">
        <v>1030224001</v>
      </c>
      <c r="C13" s="74">
        <v>4.1</v>
      </c>
      <c r="D13" s="74"/>
      <c r="E13" s="69">
        <f>C13+D13</f>
        <v>4.1</v>
      </c>
      <c r="F13" s="69">
        <f>1.2+1.2</f>
        <v>2.4</v>
      </c>
      <c r="G13" s="74">
        <v>2.6</v>
      </c>
      <c r="H13" s="71">
        <f>G13+M13</f>
        <v>2.9</v>
      </c>
      <c r="I13" s="72">
        <f t="shared" si="1"/>
        <v>0.7073170731707318</v>
      </c>
      <c r="J13" s="72">
        <f>IF(F13&gt;0,H13/F13,0)</f>
        <v>1.2083333333333333</v>
      </c>
      <c r="K13" s="73"/>
      <c r="L13" s="72">
        <f t="shared" si="4"/>
        <v>0</v>
      </c>
      <c r="M13" s="74">
        <v>0.3</v>
      </c>
      <c r="N13" s="73"/>
      <c r="O13" s="72">
        <f t="shared" si="2"/>
        <v>0</v>
      </c>
      <c r="P13" s="74"/>
      <c r="Q13" s="74"/>
      <c r="R13" s="74"/>
    </row>
    <row r="14" spans="1:18" ht="18" customHeight="1">
      <c r="A14" s="12" t="s">
        <v>65</v>
      </c>
      <c r="B14" s="12">
        <v>1030225001</v>
      </c>
      <c r="C14" s="74">
        <v>319.7</v>
      </c>
      <c r="D14" s="74"/>
      <c r="E14" s="69">
        <f>C14+D14</f>
        <v>319.7</v>
      </c>
      <c r="F14" s="69">
        <f>79.8+79.8</f>
        <v>159.6</v>
      </c>
      <c r="G14" s="74">
        <v>194.7</v>
      </c>
      <c r="H14" s="71">
        <f>G14+M14</f>
        <v>222.2</v>
      </c>
      <c r="I14" s="72">
        <f t="shared" si="1"/>
        <v>0.6950265874257116</v>
      </c>
      <c r="J14" s="72">
        <f>IF(F14&gt;0,H14/F14,0)</f>
        <v>1.3922305764411027</v>
      </c>
      <c r="K14" s="73"/>
      <c r="L14" s="72">
        <f t="shared" si="4"/>
        <v>0</v>
      </c>
      <c r="M14" s="74">
        <v>27.5</v>
      </c>
      <c r="N14" s="73"/>
      <c r="O14" s="72">
        <f t="shared" si="2"/>
        <v>0</v>
      </c>
      <c r="P14" s="74"/>
      <c r="Q14" s="74"/>
      <c r="R14" s="74"/>
    </row>
    <row r="15" spans="1:18" ht="18" customHeight="1">
      <c r="A15" s="12" t="s">
        <v>66</v>
      </c>
      <c r="B15" s="12">
        <v>1030226001</v>
      </c>
      <c r="C15" s="74">
        <v>16.5</v>
      </c>
      <c r="D15" s="74"/>
      <c r="E15" s="69">
        <f>C15+D15</f>
        <v>16.5</v>
      </c>
      <c r="F15" s="69">
        <f>4.2+4.2</f>
        <v>8.4</v>
      </c>
      <c r="G15" s="74">
        <v>-1</v>
      </c>
      <c r="H15" s="71">
        <f>G15+M15</f>
        <v>-3.9</v>
      </c>
      <c r="I15" s="72">
        <f t="shared" si="1"/>
        <v>-0.23636363636363636</v>
      </c>
      <c r="J15" s="72">
        <f>IF(F15&gt;0,H15/F15,0)</f>
        <v>-0.46428571428571425</v>
      </c>
      <c r="K15" s="73"/>
      <c r="L15" s="72">
        <f t="shared" si="4"/>
        <v>0</v>
      </c>
      <c r="M15" s="74">
        <v>-2.9</v>
      </c>
      <c r="N15" s="73"/>
      <c r="O15" s="72">
        <f t="shared" si="2"/>
        <v>0</v>
      </c>
      <c r="P15" s="74"/>
      <c r="Q15" s="74"/>
      <c r="R15" s="74"/>
    </row>
    <row r="16" spans="1:18" ht="18">
      <c r="A16" s="9" t="s">
        <v>84</v>
      </c>
      <c r="B16" s="30">
        <v>1050000000</v>
      </c>
      <c r="C16" s="75">
        <f aca="true" t="shared" si="7" ref="C16:H16">C17</f>
        <v>0</v>
      </c>
      <c r="D16" s="76">
        <f t="shared" si="7"/>
        <v>0</v>
      </c>
      <c r="E16" s="76">
        <f t="shared" si="7"/>
        <v>0</v>
      </c>
      <c r="F16" s="76">
        <f t="shared" si="7"/>
        <v>0</v>
      </c>
      <c r="G16" s="75">
        <f>G17</f>
        <v>0</v>
      </c>
      <c r="H16" s="76">
        <f t="shared" si="7"/>
        <v>0</v>
      </c>
      <c r="I16" s="96">
        <f t="shared" si="1"/>
        <v>0</v>
      </c>
      <c r="J16" s="96">
        <f t="shared" si="5"/>
        <v>0</v>
      </c>
      <c r="K16" s="75">
        <f>K17</f>
        <v>0</v>
      </c>
      <c r="L16" s="96">
        <f t="shared" si="4"/>
        <v>0</v>
      </c>
      <c r="M16" s="75">
        <f>M17</f>
        <v>0</v>
      </c>
      <c r="N16" s="75">
        <f>N17</f>
        <v>0</v>
      </c>
      <c r="O16" s="96">
        <f t="shared" si="2"/>
        <v>0</v>
      </c>
      <c r="P16" s="75">
        <f>P17</f>
        <v>0</v>
      </c>
      <c r="Q16" s="75">
        <f>Q17</f>
        <v>0</v>
      </c>
      <c r="R16" s="75">
        <f>R17</f>
        <v>0</v>
      </c>
    </row>
    <row r="17" spans="1:18" ht="18">
      <c r="A17" s="13" t="s">
        <v>9</v>
      </c>
      <c r="B17" s="13">
        <v>1050300001</v>
      </c>
      <c r="C17" s="74"/>
      <c r="D17" s="70"/>
      <c r="E17" s="74">
        <f>C17+D17</f>
        <v>0</v>
      </c>
      <c r="F17" s="74"/>
      <c r="G17" s="74"/>
      <c r="H17" s="70">
        <f>G17+M17</f>
        <v>0</v>
      </c>
      <c r="I17" s="85">
        <f t="shared" si="1"/>
        <v>0</v>
      </c>
      <c r="J17" s="85">
        <f t="shared" si="5"/>
        <v>0</v>
      </c>
      <c r="K17" s="74"/>
      <c r="L17" s="85">
        <f t="shared" si="4"/>
        <v>0</v>
      </c>
      <c r="M17" s="74"/>
      <c r="N17" s="74"/>
      <c r="O17" s="85">
        <f t="shared" si="2"/>
        <v>0</v>
      </c>
      <c r="P17" s="74"/>
      <c r="Q17" s="74"/>
      <c r="R17" s="74"/>
    </row>
    <row r="18" spans="1:18" ht="18">
      <c r="A18" s="9" t="s">
        <v>85</v>
      </c>
      <c r="B18" s="30">
        <v>1060000000</v>
      </c>
      <c r="C18" s="75">
        <f aca="true" t="shared" si="8" ref="C18:H18">C19+C22</f>
        <v>113.2</v>
      </c>
      <c r="D18" s="76">
        <f t="shared" si="8"/>
        <v>0</v>
      </c>
      <c r="E18" s="76">
        <f t="shared" si="8"/>
        <v>113.2</v>
      </c>
      <c r="F18" s="76">
        <f t="shared" si="8"/>
        <v>7.2</v>
      </c>
      <c r="G18" s="75">
        <f>G19+G22</f>
        <v>78.1</v>
      </c>
      <c r="H18" s="76">
        <f t="shared" si="8"/>
        <v>89.59999999999998</v>
      </c>
      <c r="I18" s="96">
        <f t="shared" si="1"/>
        <v>0.7915194346289751</v>
      </c>
      <c r="J18" s="96">
        <f t="shared" si="5"/>
        <v>12.444444444444441</v>
      </c>
      <c r="K18" s="75">
        <f>K19+K22</f>
        <v>82.3</v>
      </c>
      <c r="L18" s="96">
        <f t="shared" si="4"/>
        <v>1.0886998784933168</v>
      </c>
      <c r="M18" s="75">
        <f>M19+M22</f>
        <v>11.5</v>
      </c>
      <c r="N18" s="75">
        <f>N19+N22</f>
        <v>12.8</v>
      </c>
      <c r="O18" s="96">
        <f t="shared" si="2"/>
        <v>0.8984375</v>
      </c>
      <c r="P18" s="75">
        <f>P19+P22</f>
        <v>104.30000000000001</v>
      </c>
      <c r="Q18" s="75">
        <f>Q19+Q22</f>
        <v>49.8</v>
      </c>
      <c r="R18" s="75">
        <f>R19+R22</f>
        <v>49.300000000000004</v>
      </c>
    </row>
    <row r="19" spans="1:18" ht="18">
      <c r="A19" s="13" t="s">
        <v>15</v>
      </c>
      <c r="B19" s="13">
        <v>1060600000</v>
      </c>
      <c r="C19" s="74">
        <f aca="true" t="shared" si="9" ref="C19:H19">C20+C21</f>
        <v>97</v>
      </c>
      <c r="D19" s="70">
        <f t="shared" si="9"/>
        <v>0</v>
      </c>
      <c r="E19" s="70">
        <f t="shared" si="9"/>
        <v>97</v>
      </c>
      <c r="F19" s="70">
        <f t="shared" si="9"/>
        <v>6</v>
      </c>
      <c r="G19" s="74">
        <f>G20+G21</f>
        <v>72.1</v>
      </c>
      <c r="H19" s="70">
        <f t="shared" si="9"/>
        <v>78.79999999999998</v>
      </c>
      <c r="I19" s="85">
        <f t="shared" si="1"/>
        <v>0.8123711340206183</v>
      </c>
      <c r="J19" s="85">
        <f t="shared" si="5"/>
        <v>13.133333333333331</v>
      </c>
      <c r="K19" s="74">
        <f>K20+K21</f>
        <v>71</v>
      </c>
      <c r="L19" s="85">
        <f t="shared" si="4"/>
        <v>1.1098591549295773</v>
      </c>
      <c r="M19" s="74">
        <f>M20+M21</f>
        <v>6.699999999999999</v>
      </c>
      <c r="N19" s="74">
        <f>N20+N21</f>
        <v>8.6</v>
      </c>
      <c r="O19" s="85">
        <f t="shared" si="2"/>
        <v>0.7790697674418604</v>
      </c>
      <c r="P19" s="74">
        <f>P20+P21</f>
        <v>100.9</v>
      </c>
      <c r="Q19" s="74">
        <f>Q20+Q21</f>
        <v>47.5</v>
      </c>
      <c r="R19" s="74">
        <f>R20+R21</f>
        <v>47.1</v>
      </c>
    </row>
    <row r="20" spans="1:18" ht="18">
      <c r="A20" s="13" t="s">
        <v>16</v>
      </c>
      <c r="B20" s="13">
        <v>1060601310</v>
      </c>
      <c r="C20" s="74">
        <v>96.9</v>
      </c>
      <c r="D20" s="70"/>
      <c r="E20" s="74">
        <f>C20+D20</f>
        <v>96.9</v>
      </c>
      <c r="F20" s="74">
        <f>3+3</f>
        <v>6</v>
      </c>
      <c r="G20" s="74">
        <v>67.1</v>
      </c>
      <c r="H20" s="70">
        <f>G20+M20</f>
        <v>73.69999999999999</v>
      </c>
      <c r="I20" s="85">
        <f t="shared" si="1"/>
        <v>0.7605779153766768</v>
      </c>
      <c r="J20" s="85">
        <f t="shared" si="5"/>
        <v>12.283333333333331</v>
      </c>
      <c r="K20" s="74">
        <v>70.8</v>
      </c>
      <c r="L20" s="85">
        <f t="shared" si="4"/>
        <v>1.040960451977401</v>
      </c>
      <c r="M20" s="74">
        <v>6.6</v>
      </c>
      <c r="N20" s="74">
        <v>8.6</v>
      </c>
      <c r="O20" s="85">
        <f t="shared" si="2"/>
        <v>0.7674418604651163</v>
      </c>
      <c r="P20" s="74">
        <v>97</v>
      </c>
      <c r="Q20" s="74">
        <v>44</v>
      </c>
      <c r="R20" s="74">
        <v>43.6</v>
      </c>
    </row>
    <row r="21" spans="1:18" ht="18">
      <c r="A21" s="13" t="s">
        <v>16</v>
      </c>
      <c r="B21" s="13">
        <v>1060602310</v>
      </c>
      <c r="C21" s="74">
        <v>0.1</v>
      </c>
      <c r="D21" s="70"/>
      <c r="E21" s="74">
        <f>C21+D21</f>
        <v>0.1</v>
      </c>
      <c r="F21" s="74"/>
      <c r="G21" s="74">
        <v>5</v>
      </c>
      <c r="H21" s="70">
        <f>G21+M21</f>
        <v>5.1</v>
      </c>
      <c r="I21" s="85">
        <f t="shared" si="1"/>
        <v>50.99999999999999</v>
      </c>
      <c r="J21" s="85">
        <f t="shared" si="5"/>
        <v>0</v>
      </c>
      <c r="K21" s="74">
        <v>0.2</v>
      </c>
      <c r="L21" s="85">
        <f t="shared" si="4"/>
        <v>25.499999999999996</v>
      </c>
      <c r="M21" s="74">
        <v>0.1</v>
      </c>
      <c r="N21" s="74"/>
      <c r="O21" s="85">
        <f t="shared" si="2"/>
        <v>0</v>
      </c>
      <c r="P21" s="74">
        <v>3.9</v>
      </c>
      <c r="Q21" s="74">
        <v>3.5</v>
      </c>
      <c r="R21" s="74">
        <v>3.5</v>
      </c>
    </row>
    <row r="22" spans="1:18" ht="18">
      <c r="A22" s="13" t="s">
        <v>14</v>
      </c>
      <c r="B22" s="13">
        <v>1060103010</v>
      </c>
      <c r="C22" s="74">
        <v>16.2</v>
      </c>
      <c r="D22" s="70"/>
      <c r="E22" s="74">
        <f>C22+D22</f>
        <v>16.2</v>
      </c>
      <c r="F22" s="74">
        <f>0.2+0.5+0.5</f>
        <v>1.2</v>
      </c>
      <c r="G22" s="74">
        <v>6</v>
      </c>
      <c r="H22" s="70">
        <f>G22+M22</f>
        <v>10.8</v>
      </c>
      <c r="I22" s="85">
        <f t="shared" si="1"/>
        <v>0.6666666666666667</v>
      </c>
      <c r="J22" s="85">
        <f t="shared" si="5"/>
        <v>9.000000000000002</v>
      </c>
      <c r="K22" s="74">
        <v>11.3</v>
      </c>
      <c r="L22" s="85">
        <f t="shared" si="4"/>
        <v>0.9557522123893806</v>
      </c>
      <c r="M22" s="74">
        <v>4.8</v>
      </c>
      <c r="N22" s="74">
        <v>4.2</v>
      </c>
      <c r="O22" s="85">
        <f t="shared" si="2"/>
        <v>1.1428571428571428</v>
      </c>
      <c r="P22" s="74">
        <v>3.4</v>
      </c>
      <c r="Q22" s="74">
        <v>2.3</v>
      </c>
      <c r="R22" s="74">
        <v>2.2</v>
      </c>
    </row>
    <row r="23" spans="1:18" ht="18">
      <c r="A23" s="9" t="s">
        <v>86</v>
      </c>
      <c r="B23" s="30">
        <v>1080402001</v>
      </c>
      <c r="C23" s="75">
        <v>2.3</v>
      </c>
      <c r="D23" s="76"/>
      <c r="E23" s="75">
        <f>C23+D23</f>
        <v>2.3</v>
      </c>
      <c r="F23" s="75">
        <f>0.6+0.6+0.6</f>
        <v>1.7999999999999998</v>
      </c>
      <c r="G23" s="75">
        <v>2.2</v>
      </c>
      <c r="H23" s="76">
        <f>G23+M23</f>
        <v>2.2</v>
      </c>
      <c r="I23" s="96">
        <f t="shared" si="1"/>
        <v>0.9565217391304349</v>
      </c>
      <c r="J23" s="96">
        <f t="shared" si="5"/>
        <v>1.2222222222222225</v>
      </c>
      <c r="K23" s="75">
        <v>2.9</v>
      </c>
      <c r="L23" s="96">
        <f t="shared" si="4"/>
        <v>0.7586206896551725</v>
      </c>
      <c r="M23" s="75"/>
      <c r="N23" s="75">
        <v>0.6</v>
      </c>
      <c r="O23" s="96">
        <f t="shared" si="2"/>
        <v>0</v>
      </c>
      <c r="P23" s="75"/>
      <c r="Q23" s="75"/>
      <c r="R23" s="75"/>
    </row>
    <row r="24" spans="1:18" ht="18">
      <c r="A24" s="9" t="s">
        <v>87</v>
      </c>
      <c r="B24" s="30">
        <v>1090405010</v>
      </c>
      <c r="C24" s="75"/>
      <c r="D24" s="75"/>
      <c r="E24" s="75">
        <f>C24+D24</f>
        <v>0</v>
      </c>
      <c r="F24" s="75"/>
      <c r="G24" s="75"/>
      <c r="H24" s="76">
        <f>G24+M24</f>
        <v>0</v>
      </c>
      <c r="I24" s="96">
        <f t="shared" si="1"/>
        <v>0</v>
      </c>
      <c r="J24" s="96">
        <f t="shared" si="5"/>
        <v>0</v>
      </c>
      <c r="K24" s="75"/>
      <c r="L24" s="96">
        <f t="shared" si="4"/>
        <v>0</v>
      </c>
      <c r="M24" s="75"/>
      <c r="N24" s="75"/>
      <c r="O24" s="96">
        <f t="shared" si="2"/>
        <v>0</v>
      </c>
      <c r="P24" s="75"/>
      <c r="Q24" s="75"/>
      <c r="R24" s="75"/>
    </row>
    <row r="25" spans="1:18" ht="18">
      <c r="A25" s="32" t="s">
        <v>27</v>
      </c>
      <c r="B25" s="32"/>
      <c r="C25" s="81">
        <f aca="true" t="shared" si="10" ref="C25:H25">C26+C29+C33+C32+C31+C30</f>
        <v>312.3</v>
      </c>
      <c r="D25" s="81">
        <f t="shared" si="10"/>
        <v>75.2</v>
      </c>
      <c r="E25" s="81">
        <f t="shared" si="10"/>
        <v>387.5</v>
      </c>
      <c r="F25" s="81">
        <f t="shared" si="10"/>
        <v>247.39999999999998</v>
      </c>
      <c r="G25" s="81">
        <f t="shared" si="10"/>
        <v>283.00000000000006</v>
      </c>
      <c r="H25" s="81">
        <f t="shared" si="10"/>
        <v>490.00000000000006</v>
      </c>
      <c r="I25" s="100">
        <f t="shared" si="1"/>
        <v>1.2645161290322582</v>
      </c>
      <c r="J25" s="100">
        <f t="shared" si="5"/>
        <v>1.9805982215036382</v>
      </c>
      <c r="K25" s="81">
        <f>K26+K29+K33+K32+K31+K30</f>
        <v>221</v>
      </c>
      <c r="L25" s="100">
        <f t="shared" si="4"/>
        <v>2.2171945701357467</v>
      </c>
      <c r="M25" s="81">
        <f>M26+M29+M33+M32+M31+M30</f>
        <v>207</v>
      </c>
      <c r="N25" s="81">
        <f>N26+N29+N33+N32+N31+N30</f>
        <v>58.9</v>
      </c>
      <c r="O25" s="100">
        <f t="shared" si="2"/>
        <v>3.5144312393887946</v>
      </c>
      <c r="P25" s="81">
        <f>P26+P29+P33+P32+P31</f>
        <v>3.8</v>
      </c>
      <c r="Q25" s="81">
        <f>Q26+Q29+Q33+Q32+Q31</f>
        <v>0.3</v>
      </c>
      <c r="R25" s="81">
        <f>R26+R29+R33+R32+R31</f>
        <v>0.3</v>
      </c>
    </row>
    <row r="26" spans="1:18" ht="18">
      <c r="A26" s="9" t="s">
        <v>88</v>
      </c>
      <c r="B26" s="30">
        <v>1110000000</v>
      </c>
      <c r="C26" s="75">
        <f aca="true" t="shared" si="11" ref="C26:H26">C27+C28</f>
        <v>103.4</v>
      </c>
      <c r="D26" s="75">
        <f t="shared" si="11"/>
        <v>50.3</v>
      </c>
      <c r="E26" s="75">
        <f t="shared" si="11"/>
        <v>153.7</v>
      </c>
      <c r="F26" s="75">
        <f t="shared" si="11"/>
        <v>103.8</v>
      </c>
      <c r="G26" s="75">
        <f>G27+G28</f>
        <v>96.9</v>
      </c>
      <c r="H26" s="75">
        <f t="shared" si="11"/>
        <v>134.4</v>
      </c>
      <c r="I26" s="96">
        <f t="shared" si="1"/>
        <v>0.8744307091737151</v>
      </c>
      <c r="J26" s="96">
        <f t="shared" si="5"/>
        <v>1.2947976878612717</v>
      </c>
      <c r="K26" s="75">
        <f>K27+K28</f>
        <v>89.6</v>
      </c>
      <c r="L26" s="96">
        <f t="shared" si="4"/>
        <v>1.5000000000000002</v>
      </c>
      <c r="M26" s="75">
        <f>M27+M28</f>
        <v>37.5</v>
      </c>
      <c r="N26" s="75">
        <f>N27+N28</f>
        <v>9.4</v>
      </c>
      <c r="O26" s="96">
        <f t="shared" si="2"/>
        <v>3.9893617021276593</v>
      </c>
      <c r="P26" s="75">
        <f>P27+P28</f>
        <v>3.8</v>
      </c>
      <c r="Q26" s="75">
        <f>Q27+Q28</f>
        <v>0.3</v>
      </c>
      <c r="R26" s="75">
        <f>R27+R28</f>
        <v>0.3</v>
      </c>
    </row>
    <row r="27" spans="1:18" ht="18">
      <c r="A27" s="13" t="s">
        <v>31</v>
      </c>
      <c r="B27" s="13">
        <v>1110501013</v>
      </c>
      <c r="C27" s="74">
        <v>48.4</v>
      </c>
      <c r="D27" s="70">
        <v>50.3</v>
      </c>
      <c r="E27" s="74">
        <f aca="true" t="shared" si="12" ref="E27:E32">C27+D27</f>
        <v>98.69999999999999</v>
      </c>
      <c r="F27" s="74">
        <f>32.9+32.9</f>
        <v>65.8</v>
      </c>
      <c r="G27" s="74">
        <v>62.2</v>
      </c>
      <c r="H27" s="70">
        <f aca="true" t="shared" si="13" ref="H27:H32">G27+M27</f>
        <v>92.6</v>
      </c>
      <c r="I27" s="85">
        <f t="shared" si="1"/>
        <v>0.9381965552178319</v>
      </c>
      <c r="J27" s="85">
        <f t="shared" si="5"/>
        <v>1.4072948328267476</v>
      </c>
      <c r="K27" s="74">
        <v>42.9</v>
      </c>
      <c r="L27" s="85">
        <f t="shared" si="4"/>
        <v>2.1585081585081585</v>
      </c>
      <c r="M27" s="74">
        <v>30.4</v>
      </c>
      <c r="N27" s="74">
        <v>3</v>
      </c>
      <c r="O27" s="85">
        <f t="shared" si="2"/>
        <v>10.133333333333333</v>
      </c>
      <c r="P27" s="74">
        <v>3.8</v>
      </c>
      <c r="Q27" s="74">
        <v>0.3</v>
      </c>
      <c r="R27" s="74">
        <v>0.3</v>
      </c>
    </row>
    <row r="28" spans="1:18" ht="18">
      <c r="A28" s="33" t="s">
        <v>28</v>
      </c>
      <c r="B28" s="13">
        <v>1110904510</v>
      </c>
      <c r="C28" s="74">
        <v>55</v>
      </c>
      <c r="D28" s="70"/>
      <c r="E28" s="74">
        <f t="shared" si="12"/>
        <v>55</v>
      </c>
      <c r="F28" s="74">
        <f>11+13.5+13.5</f>
        <v>38</v>
      </c>
      <c r="G28" s="74">
        <v>34.7</v>
      </c>
      <c r="H28" s="70">
        <f t="shared" si="13"/>
        <v>41.800000000000004</v>
      </c>
      <c r="I28" s="85">
        <f t="shared" si="1"/>
        <v>0.7600000000000001</v>
      </c>
      <c r="J28" s="85">
        <f t="shared" si="5"/>
        <v>1.1</v>
      </c>
      <c r="K28" s="74">
        <v>46.7</v>
      </c>
      <c r="L28" s="85">
        <f t="shared" si="4"/>
        <v>0.8950749464668094</v>
      </c>
      <c r="M28" s="74">
        <v>7.1</v>
      </c>
      <c r="N28" s="74">
        <v>6.4</v>
      </c>
      <c r="O28" s="85">
        <f t="shared" si="2"/>
        <v>1.1093749999999998</v>
      </c>
      <c r="P28" s="74"/>
      <c r="Q28" s="74"/>
      <c r="R28" s="74"/>
    </row>
    <row r="29" spans="1:18" ht="18">
      <c r="A29" s="9" t="s">
        <v>46</v>
      </c>
      <c r="B29" s="30">
        <v>1130299510</v>
      </c>
      <c r="C29" s="75">
        <v>205.9</v>
      </c>
      <c r="D29" s="75">
        <v>10</v>
      </c>
      <c r="E29" s="75">
        <f t="shared" si="12"/>
        <v>215.9</v>
      </c>
      <c r="F29" s="75">
        <f>39.4+51.6+51.6</f>
        <v>142.6</v>
      </c>
      <c r="G29" s="75">
        <v>162.7</v>
      </c>
      <c r="H29" s="76">
        <f t="shared" si="13"/>
        <v>218.7</v>
      </c>
      <c r="I29" s="96">
        <f t="shared" si="1"/>
        <v>1.0129689671144047</v>
      </c>
      <c r="J29" s="96">
        <f t="shared" si="5"/>
        <v>1.5336605890603086</v>
      </c>
      <c r="K29" s="75">
        <v>127.2</v>
      </c>
      <c r="L29" s="96">
        <f t="shared" si="4"/>
        <v>1.7193396226415094</v>
      </c>
      <c r="M29" s="75">
        <v>56</v>
      </c>
      <c r="N29" s="75">
        <v>49.5</v>
      </c>
      <c r="O29" s="96">
        <f t="shared" si="2"/>
        <v>1.1313131313131313</v>
      </c>
      <c r="P29" s="75"/>
      <c r="Q29" s="75"/>
      <c r="R29" s="75"/>
    </row>
    <row r="30" spans="1:18" ht="18">
      <c r="A30" s="9" t="s">
        <v>89</v>
      </c>
      <c r="B30" s="30">
        <v>1140205310</v>
      </c>
      <c r="C30" s="75"/>
      <c r="D30" s="75">
        <v>14.9</v>
      </c>
      <c r="E30" s="75">
        <f t="shared" si="12"/>
        <v>14.9</v>
      </c>
      <c r="F30" s="75"/>
      <c r="G30" s="75">
        <v>22.8</v>
      </c>
      <c r="H30" s="76">
        <f t="shared" si="13"/>
        <v>136.3</v>
      </c>
      <c r="I30" s="96">
        <f>IF(E30&gt;0,H30/E30,0)</f>
        <v>9.14765100671141</v>
      </c>
      <c r="J30" s="96">
        <f>IF(F30&gt;0,H30/F30,0)</f>
        <v>0</v>
      </c>
      <c r="K30" s="75"/>
      <c r="L30" s="96">
        <f t="shared" si="4"/>
        <v>0</v>
      </c>
      <c r="M30" s="75">
        <v>113.5</v>
      </c>
      <c r="N30" s="75"/>
      <c r="O30" s="96">
        <f t="shared" si="2"/>
        <v>0</v>
      </c>
      <c r="P30" s="75"/>
      <c r="Q30" s="75"/>
      <c r="R30" s="75"/>
    </row>
    <row r="31" spans="1:18" ht="18">
      <c r="A31" s="9" t="s">
        <v>90</v>
      </c>
      <c r="B31" s="30">
        <v>1140601410</v>
      </c>
      <c r="C31" s="75"/>
      <c r="D31" s="75"/>
      <c r="E31" s="75">
        <f t="shared" si="12"/>
        <v>0</v>
      </c>
      <c r="F31" s="75"/>
      <c r="G31" s="75"/>
      <c r="H31" s="76">
        <f t="shared" si="13"/>
        <v>0</v>
      </c>
      <c r="I31" s="96">
        <f>IF(E31&gt;0,H31/E31,0)</f>
        <v>0</v>
      </c>
      <c r="J31" s="96">
        <f>IF(F31&gt;0,H31/F31,0)</f>
        <v>0</v>
      </c>
      <c r="K31" s="75"/>
      <c r="L31" s="96">
        <f t="shared" si="4"/>
        <v>0</v>
      </c>
      <c r="M31" s="75"/>
      <c r="N31" s="75"/>
      <c r="O31" s="96"/>
      <c r="P31" s="75"/>
      <c r="Q31" s="75"/>
      <c r="R31" s="75"/>
    </row>
    <row r="32" spans="1:18" ht="18">
      <c r="A32" s="9" t="s">
        <v>93</v>
      </c>
      <c r="B32" s="30">
        <v>1169005010</v>
      </c>
      <c r="C32" s="75">
        <v>3</v>
      </c>
      <c r="D32" s="75"/>
      <c r="E32" s="75">
        <f t="shared" si="12"/>
        <v>3</v>
      </c>
      <c r="F32" s="75">
        <f>1</f>
        <v>1</v>
      </c>
      <c r="G32" s="75"/>
      <c r="H32" s="76">
        <f t="shared" si="13"/>
        <v>0</v>
      </c>
      <c r="I32" s="96">
        <f>IF(E32&gt;0,H32/E32,0)</f>
        <v>0</v>
      </c>
      <c r="J32" s="96">
        <f>IF(F32&gt;0,H32/F32,0)</f>
        <v>0</v>
      </c>
      <c r="K32" s="75">
        <v>3.6</v>
      </c>
      <c r="L32" s="96">
        <f t="shared" si="4"/>
        <v>0</v>
      </c>
      <c r="M32" s="75"/>
      <c r="N32" s="75"/>
      <c r="O32" s="96">
        <f t="shared" si="2"/>
        <v>0</v>
      </c>
      <c r="P32" s="75"/>
      <c r="Q32" s="75"/>
      <c r="R32" s="75"/>
    </row>
    <row r="33" spans="1:18" ht="18">
      <c r="A33" s="9" t="s">
        <v>83</v>
      </c>
      <c r="B33" s="30">
        <v>1170000000</v>
      </c>
      <c r="C33" s="75">
        <f>SUM(C34:C35)</f>
        <v>0</v>
      </c>
      <c r="D33" s="75">
        <f aca="true" t="shared" si="14" ref="D33:R33">SUM(D34:D35)</f>
        <v>0</v>
      </c>
      <c r="E33" s="75">
        <f t="shared" si="14"/>
        <v>0</v>
      </c>
      <c r="F33" s="75">
        <f t="shared" si="14"/>
        <v>0</v>
      </c>
      <c r="G33" s="75">
        <f>SUM(G34:G35)</f>
        <v>0.6</v>
      </c>
      <c r="H33" s="75">
        <f t="shared" si="14"/>
        <v>0.6</v>
      </c>
      <c r="I33" s="96">
        <f>IF(E33&gt;0,H33/E33,0)</f>
        <v>0</v>
      </c>
      <c r="J33" s="96">
        <f>IF(F33&gt;0,H33/F33,0)</f>
        <v>0</v>
      </c>
      <c r="K33" s="75">
        <f>SUM(K34:K35)</f>
        <v>0.6</v>
      </c>
      <c r="L33" s="96">
        <f t="shared" si="4"/>
        <v>1</v>
      </c>
      <c r="M33" s="75">
        <f t="shared" si="14"/>
        <v>0</v>
      </c>
      <c r="N33" s="75">
        <f>SUM(N34:N35)</f>
        <v>0</v>
      </c>
      <c r="O33" s="96">
        <f t="shared" si="2"/>
        <v>0</v>
      </c>
      <c r="P33" s="75">
        <f t="shared" si="14"/>
        <v>0</v>
      </c>
      <c r="Q33" s="75">
        <f>SUM(Q34:Q35)</f>
        <v>0</v>
      </c>
      <c r="R33" s="75">
        <f t="shared" si="14"/>
        <v>0</v>
      </c>
    </row>
    <row r="34" spans="1:18" ht="18">
      <c r="A34" s="13" t="s">
        <v>10</v>
      </c>
      <c r="B34" s="13">
        <v>1170103003</v>
      </c>
      <c r="C34" s="74"/>
      <c r="D34" s="74"/>
      <c r="E34" s="74">
        <f>C34+D34</f>
        <v>0</v>
      </c>
      <c r="F34" s="74"/>
      <c r="G34" s="74"/>
      <c r="H34" s="70">
        <f>G34+M34</f>
        <v>0</v>
      </c>
      <c r="I34" s="85">
        <f t="shared" si="1"/>
        <v>0</v>
      </c>
      <c r="J34" s="85">
        <f t="shared" si="5"/>
        <v>0</v>
      </c>
      <c r="K34" s="74"/>
      <c r="L34" s="85">
        <f t="shared" si="4"/>
        <v>0</v>
      </c>
      <c r="M34" s="74"/>
      <c r="N34" s="74"/>
      <c r="O34" s="85">
        <f aca="true" t="shared" si="15" ref="O34:O40">IF(N34&gt;0,M34/N34,0)</f>
        <v>0</v>
      </c>
      <c r="P34" s="85"/>
      <c r="Q34" s="85"/>
      <c r="R34" s="85"/>
    </row>
    <row r="35" spans="1:18" ht="18">
      <c r="A35" s="13" t="s">
        <v>41</v>
      </c>
      <c r="B35" s="13">
        <v>1170505010</v>
      </c>
      <c r="C35" s="74"/>
      <c r="D35" s="70"/>
      <c r="E35" s="74">
        <f>C35+D35</f>
        <v>0</v>
      </c>
      <c r="F35" s="74"/>
      <c r="G35" s="74">
        <v>0.6</v>
      </c>
      <c r="H35" s="70">
        <f>G35+M35</f>
        <v>0.6</v>
      </c>
      <c r="I35" s="85">
        <f>IF(E35&gt;0,H35/E35,0)</f>
        <v>0</v>
      </c>
      <c r="J35" s="85">
        <f>IF(F35&gt;0,H35/F35,0)</f>
        <v>0</v>
      </c>
      <c r="K35" s="74">
        <v>0.6</v>
      </c>
      <c r="L35" s="85">
        <f>IF(K35&gt;0,H35/K35,0)</f>
        <v>1</v>
      </c>
      <c r="M35" s="74"/>
      <c r="N35" s="74"/>
      <c r="O35" s="85">
        <f t="shared" si="15"/>
        <v>0</v>
      </c>
      <c r="P35" s="74"/>
      <c r="Q35" s="74"/>
      <c r="R35" s="74"/>
    </row>
    <row r="36" spans="1:18" ht="18">
      <c r="A36" s="9" t="s">
        <v>8</v>
      </c>
      <c r="B36" s="9">
        <v>1000000000</v>
      </c>
      <c r="C36" s="87">
        <f aca="true" t="shared" si="16" ref="C36:H36">C5+C25</f>
        <v>1237.6</v>
      </c>
      <c r="D36" s="87">
        <f t="shared" si="16"/>
        <v>55.2</v>
      </c>
      <c r="E36" s="97">
        <f t="shared" si="16"/>
        <v>1292.8</v>
      </c>
      <c r="F36" s="87">
        <f t="shared" si="16"/>
        <v>697.8</v>
      </c>
      <c r="G36" s="87">
        <f>G5+G25</f>
        <v>802.5</v>
      </c>
      <c r="H36" s="87">
        <f t="shared" si="16"/>
        <v>1068.8</v>
      </c>
      <c r="I36" s="101">
        <f t="shared" si="1"/>
        <v>0.8267326732673267</v>
      </c>
      <c r="J36" s="101">
        <f t="shared" si="5"/>
        <v>1.531670965892806</v>
      </c>
      <c r="K36" s="87">
        <f>K5+K25</f>
        <v>432</v>
      </c>
      <c r="L36" s="101">
        <f t="shared" si="4"/>
        <v>2.474074074074074</v>
      </c>
      <c r="M36" s="87">
        <f>M5+M25</f>
        <v>266.3</v>
      </c>
      <c r="N36" s="87">
        <f>N5+N25</f>
        <v>87.2</v>
      </c>
      <c r="O36" s="101">
        <f t="shared" si="15"/>
        <v>3.0538990825688073</v>
      </c>
      <c r="P36" s="87">
        <f>P5+P25</f>
        <v>108.10000000000001</v>
      </c>
      <c r="Q36" s="87">
        <f>Q5+Q25</f>
        <v>50.099999999999994</v>
      </c>
      <c r="R36" s="87">
        <f>R5+R25</f>
        <v>49.6</v>
      </c>
    </row>
    <row r="37" spans="1:18" ht="18">
      <c r="A37" s="9" t="s">
        <v>111</v>
      </c>
      <c r="B37" s="9"/>
      <c r="C37" s="87">
        <f aca="true" t="shared" si="17" ref="C37:H37">C36-C11</f>
        <v>646.6999999999999</v>
      </c>
      <c r="D37" s="87">
        <f t="shared" si="17"/>
        <v>55.2</v>
      </c>
      <c r="E37" s="87">
        <f t="shared" si="17"/>
        <v>701.9</v>
      </c>
      <c r="F37" s="87">
        <f t="shared" si="17"/>
        <v>402</v>
      </c>
      <c r="G37" s="87">
        <f t="shared" si="17"/>
        <v>483.1</v>
      </c>
      <c r="H37" s="87">
        <f t="shared" si="17"/>
        <v>712.3</v>
      </c>
      <c r="I37" s="101">
        <f>IF(E37&gt;0,H37/E37,0)</f>
        <v>1.0148169254879613</v>
      </c>
      <c r="J37" s="101">
        <f>IF(F37&gt;0,H37/F37,0)</f>
        <v>1.7718905472636814</v>
      </c>
      <c r="K37" s="87">
        <f>K36-K11</f>
        <v>432</v>
      </c>
      <c r="L37" s="101">
        <f t="shared" si="4"/>
        <v>1.6488425925925925</v>
      </c>
      <c r="M37" s="87">
        <f>M36-M11</f>
        <v>229.20000000000002</v>
      </c>
      <c r="N37" s="87">
        <f>N36-N11</f>
        <v>87.2</v>
      </c>
      <c r="O37" s="101">
        <f t="shared" si="15"/>
        <v>2.628440366972477</v>
      </c>
      <c r="P37" s="87"/>
      <c r="Q37" s="87"/>
      <c r="R37" s="87"/>
    </row>
    <row r="38" spans="1:18" ht="18">
      <c r="A38" s="13" t="s">
        <v>44</v>
      </c>
      <c r="B38" s="13">
        <v>2000000000</v>
      </c>
      <c r="C38" s="74">
        <v>1234.7</v>
      </c>
      <c r="D38" s="92">
        <f>-5-8.5</f>
        <v>-13.5</v>
      </c>
      <c r="E38" s="74">
        <f>C38+D38</f>
        <v>1221.2</v>
      </c>
      <c r="F38" s="74">
        <f>471.6+209.9+209.9</f>
        <v>891.4</v>
      </c>
      <c r="G38" s="74">
        <v>885.6</v>
      </c>
      <c r="H38" s="70">
        <f>G38+M38</f>
        <v>933.5</v>
      </c>
      <c r="I38" s="85">
        <f t="shared" si="1"/>
        <v>0.7644120537176547</v>
      </c>
      <c r="J38" s="85">
        <f t="shared" si="5"/>
        <v>1.0472290778550595</v>
      </c>
      <c r="K38" s="74">
        <v>785</v>
      </c>
      <c r="L38" s="85">
        <f t="shared" si="4"/>
        <v>1.189171974522293</v>
      </c>
      <c r="M38" s="74">
        <v>47.9</v>
      </c>
      <c r="N38" s="74">
        <v>106</v>
      </c>
      <c r="O38" s="85">
        <f t="shared" si="15"/>
        <v>0.4518867924528302</v>
      </c>
      <c r="P38" s="74"/>
      <c r="Q38" s="74"/>
      <c r="R38" s="74"/>
    </row>
    <row r="39" spans="1:18" ht="18">
      <c r="A39" s="13" t="s">
        <v>55</v>
      </c>
      <c r="B39" s="34" t="s">
        <v>45</v>
      </c>
      <c r="C39" s="74"/>
      <c r="D39" s="92"/>
      <c r="E39" s="74">
        <f>C39+D39</f>
        <v>0</v>
      </c>
      <c r="F39" s="74"/>
      <c r="G39" s="74"/>
      <c r="H39" s="70">
        <f>G39+M39</f>
        <v>0</v>
      </c>
      <c r="I39" s="85">
        <f>IF(E39&gt;0,H39/E39,0)</f>
        <v>0</v>
      </c>
      <c r="J39" s="85">
        <f>IF(F39&gt;0,H39/F39,0)</f>
        <v>0</v>
      </c>
      <c r="K39" s="74"/>
      <c r="L39" s="85">
        <f t="shared" si="4"/>
        <v>0</v>
      </c>
      <c r="M39" s="74"/>
      <c r="N39" s="74"/>
      <c r="O39" s="85">
        <f t="shared" si="15"/>
        <v>0</v>
      </c>
      <c r="P39" s="74"/>
      <c r="Q39" s="74"/>
      <c r="R39" s="74"/>
    </row>
    <row r="40" spans="1:18" ht="18">
      <c r="A40" s="9" t="s">
        <v>2</v>
      </c>
      <c r="B40" s="9">
        <v>0</v>
      </c>
      <c r="C40" s="87">
        <f aca="true" t="shared" si="18" ref="C40:H40">C36+C38+C39</f>
        <v>2472.3</v>
      </c>
      <c r="D40" s="87">
        <f t="shared" si="18"/>
        <v>41.7</v>
      </c>
      <c r="E40" s="86">
        <f t="shared" si="18"/>
        <v>2514</v>
      </c>
      <c r="F40" s="87">
        <f t="shared" si="18"/>
        <v>1589.1999999999998</v>
      </c>
      <c r="G40" s="87">
        <f t="shared" si="18"/>
        <v>1688.1</v>
      </c>
      <c r="H40" s="87">
        <f t="shared" si="18"/>
        <v>2002.3</v>
      </c>
      <c r="I40" s="101">
        <f t="shared" si="1"/>
        <v>0.7964598249801114</v>
      </c>
      <c r="J40" s="101"/>
      <c r="K40" s="87">
        <f>K36+K38+K39</f>
        <v>1217</v>
      </c>
      <c r="L40" s="101">
        <f t="shared" si="4"/>
        <v>1.6452752670501232</v>
      </c>
      <c r="M40" s="87">
        <f>M36+M38+M39</f>
        <v>314.2</v>
      </c>
      <c r="N40" s="87">
        <f>N36+N38+N39</f>
        <v>193.2</v>
      </c>
      <c r="O40" s="101">
        <f t="shared" si="15"/>
        <v>1.6262939958592133</v>
      </c>
      <c r="P40" s="87">
        <f>P36+P38+P39</f>
        <v>108.10000000000001</v>
      </c>
      <c r="Q40" s="87">
        <f>Q36+Q38+Q39</f>
        <v>50.099999999999994</v>
      </c>
      <c r="R40" s="87">
        <f>R36+R38+R39</f>
        <v>49.6</v>
      </c>
    </row>
    <row r="41" ht="12.75">
      <c r="G41" s="5"/>
    </row>
    <row r="42" ht="12.75">
      <c r="G42" s="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pane xSplit="2" ySplit="13" topLeftCell="F2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M20" sqref="M20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5.875" style="0" customWidth="1"/>
    <col min="6" max="6" width="13.00390625" style="0" customWidth="1"/>
    <col min="7" max="8" width="13.875" style="0" customWidth="1"/>
    <col min="9" max="9" width="12.25390625" style="0" customWidth="1"/>
    <col min="10" max="10" width="14.25390625" style="0" customWidth="1"/>
    <col min="11" max="12" width="14.375" style="0" customWidth="1"/>
    <col min="13" max="13" width="11.875" style="0" customWidth="1"/>
    <col min="14" max="14" width="12.875" style="0" customWidth="1"/>
    <col min="15" max="15" width="14.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4.25" customHeight="1">
      <c r="A2" s="151" t="s">
        <v>126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14.25" customHeight="1">
      <c r="A3" s="152" t="s">
        <v>4</v>
      </c>
      <c r="B3" s="152" t="s">
        <v>6</v>
      </c>
      <c r="C3" s="152" t="s">
        <v>58</v>
      </c>
      <c r="D3" s="152" t="s">
        <v>29</v>
      </c>
      <c r="E3" s="152" t="s">
        <v>94</v>
      </c>
      <c r="F3" s="152" t="s">
        <v>108</v>
      </c>
      <c r="G3" s="152" t="s">
        <v>110</v>
      </c>
      <c r="H3" s="157" t="s">
        <v>60</v>
      </c>
      <c r="I3" s="157"/>
      <c r="J3" s="158"/>
      <c r="K3" s="157" t="s">
        <v>57</v>
      </c>
      <c r="L3" s="157"/>
      <c r="M3" s="161" t="s">
        <v>117</v>
      </c>
      <c r="N3" s="161" t="s">
        <v>118</v>
      </c>
      <c r="O3" s="152" t="s">
        <v>5</v>
      </c>
      <c r="P3" s="160" t="s">
        <v>3</v>
      </c>
      <c r="Q3" s="160"/>
      <c r="R3" s="160"/>
    </row>
    <row r="4" spans="1:18" ht="7.5" customHeight="1">
      <c r="A4" s="153"/>
      <c r="B4" s="153"/>
      <c r="C4" s="153"/>
      <c r="D4" s="152"/>
      <c r="E4" s="152"/>
      <c r="F4" s="152"/>
      <c r="G4" s="152"/>
      <c r="H4" s="159" t="s">
        <v>114</v>
      </c>
      <c r="I4" s="159" t="s">
        <v>22</v>
      </c>
      <c r="J4" s="159" t="s">
        <v>38</v>
      </c>
      <c r="K4" s="159" t="s">
        <v>114</v>
      </c>
      <c r="L4" s="152" t="s">
        <v>5</v>
      </c>
      <c r="M4" s="161"/>
      <c r="N4" s="161"/>
      <c r="O4" s="152"/>
      <c r="P4" s="152" t="s">
        <v>95</v>
      </c>
      <c r="Q4" s="154" t="s">
        <v>113</v>
      </c>
      <c r="R4" s="154" t="s">
        <v>127</v>
      </c>
    </row>
    <row r="5" spans="1:18" ht="13.5" customHeight="1">
      <c r="A5" s="153"/>
      <c r="B5" s="153"/>
      <c r="C5" s="153"/>
      <c r="D5" s="152"/>
      <c r="E5" s="152"/>
      <c r="F5" s="152"/>
      <c r="G5" s="152"/>
      <c r="H5" s="159"/>
      <c r="I5" s="159"/>
      <c r="J5" s="159"/>
      <c r="K5" s="159"/>
      <c r="L5" s="152"/>
      <c r="M5" s="161"/>
      <c r="N5" s="161"/>
      <c r="O5" s="152"/>
      <c r="P5" s="152"/>
      <c r="Q5" s="155"/>
      <c r="R5" s="155"/>
    </row>
    <row r="6" spans="1:18" ht="1.5" customHeight="1">
      <c r="A6" s="153"/>
      <c r="B6" s="153"/>
      <c r="C6" s="153"/>
      <c r="D6" s="152"/>
      <c r="E6" s="152"/>
      <c r="F6" s="152"/>
      <c r="G6" s="152"/>
      <c r="H6" s="159"/>
      <c r="I6" s="159"/>
      <c r="J6" s="159"/>
      <c r="K6" s="159"/>
      <c r="L6" s="152"/>
      <c r="M6" s="161"/>
      <c r="N6" s="161"/>
      <c r="O6" s="152"/>
      <c r="P6" s="152"/>
      <c r="Q6" s="155"/>
      <c r="R6" s="155"/>
    </row>
    <row r="7" spans="1:18" ht="12.75" customHeight="1">
      <c r="A7" s="153"/>
      <c r="B7" s="153"/>
      <c r="C7" s="153"/>
      <c r="D7" s="152"/>
      <c r="E7" s="152"/>
      <c r="F7" s="152"/>
      <c r="G7" s="152"/>
      <c r="H7" s="159"/>
      <c r="I7" s="159"/>
      <c r="J7" s="159"/>
      <c r="K7" s="159"/>
      <c r="L7" s="152"/>
      <c r="M7" s="161"/>
      <c r="N7" s="161"/>
      <c r="O7" s="152"/>
      <c r="P7" s="152"/>
      <c r="Q7" s="155"/>
      <c r="R7" s="155"/>
    </row>
    <row r="8" spans="1:18" ht="9" customHeight="1">
      <c r="A8" s="153"/>
      <c r="B8" s="153"/>
      <c r="C8" s="153"/>
      <c r="D8" s="152"/>
      <c r="E8" s="152"/>
      <c r="F8" s="152"/>
      <c r="G8" s="152"/>
      <c r="H8" s="159"/>
      <c r="I8" s="159"/>
      <c r="J8" s="159"/>
      <c r="K8" s="159"/>
      <c r="L8" s="152"/>
      <c r="M8" s="161"/>
      <c r="N8" s="161"/>
      <c r="O8" s="152"/>
      <c r="P8" s="153"/>
      <c r="Q8" s="155"/>
      <c r="R8" s="155"/>
    </row>
    <row r="9" spans="1:18" ht="13.5" customHeight="1">
      <c r="A9" s="153"/>
      <c r="B9" s="153"/>
      <c r="C9" s="153"/>
      <c r="D9" s="152"/>
      <c r="E9" s="152"/>
      <c r="F9" s="152"/>
      <c r="G9" s="152"/>
      <c r="H9" s="159"/>
      <c r="I9" s="159"/>
      <c r="J9" s="159"/>
      <c r="K9" s="159"/>
      <c r="L9" s="152"/>
      <c r="M9" s="161"/>
      <c r="N9" s="161"/>
      <c r="O9" s="152"/>
      <c r="P9" s="153"/>
      <c r="Q9" s="155"/>
      <c r="R9" s="155"/>
    </row>
    <row r="10" spans="1:18" ht="13.5" customHeight="1">
      <c r="A10" s="153"/>
      <c r="B10" s="153"/>
      <c r="C10" s="153"/>
      <c r="D10" s="152"/>
      <c r="E10" s="152"/>
      <c r="F10" s="152"/>
      <c r="G10" s="152"/>
      <c r="H10" s="159"/>
      <c r="I10" s="159"/>
      <c r="J10" s="159"/>
      <c r="K10" s="159"/>
      <c r="L10" s="152"/>
      <c r="M10" s="161"/>
      <c r="N10" s="161"/>
      <c r="O10" s="152"/>
      <c r="P10" s="153"/>
      <c r="Q10" s="155"/>
      <c r="R10" s="155"/>
    </row>
    <row r="11" spans="1:18" ht="24.75" customHeight="1">
      <c r="A11" s="153"/>
      <c r="B11" s="153"/>
      <c r="C11" s="153"/>
      <c r="D11" s="152"/>
      <c r="E11" s="152"/>
      <c r="F11" s="152"/>
      <c r="G11" s="152"/>
      <c r="H11" s="159"/>
      <c r="I11" s="159"/>
      <c r="J11" s="159"/>
      <c r="K11" s="159"/>
      <c r="L11" s="152"/>
      <c r="M11" s="161"/>
      <c r="N11" s="161"/>
      <c r="O11" s="152"/>
      <c r="P11" s="153"/>
      <c r="Q11" s="156"/>
      <c r="R11" s="156"/>
    </row>
    <row r="12" spans="1:18" ht="18">
      <c r="A12" s="7" t="s">
        <v>26</v>
      </c>
      <c r="B12" s="17"/>
      <c r="C12" s="104">
        <f aca="true" t="shared" si="0" ref="C12:H12">C13+C18+C23+C29+C33+C34</f>
        <v>50719.700000000004</v>
      </c>
      <c r="D12" s="104">
        <f t="shared" si="0"/>
        <v>185.5</v>
      </c>
      <c r="E12" s="104">
        <f t="shared" si="0"/>
        <v>50905.200000000004</v>
      </c>
      <c r="F12" s="104">
        <f t="shared" si="0"/>
        <v>31460</v>
      </c>
      <c r="G12" s="104">
        <f t="shared" si="0"/>
        <v>32015.1</v>
      </c>
      <c r="H12" s="104">
        <f t="shared" si="0"/>
        <v>34610.40000000001</v>
      </c>
      <c r="I12" s="105">
        <f>IF(E12&gt;0,H12/E12,0)</f>
        <v>0.679899106574574</v>
      </c>
      <c r="J12" s="105">
        <f>IF(F12&gt;0,H12/F12,0)</f>
        <v>1.1001398601398604</v>
      </c>
      <c r="K12" s="104">
        <f>K13+K18+K23+K29+K33+K34</f>
        <v>29121.4</v>
      </c>
      <c r="L12" s="105">
        <f>IF(K12&gt;0,H12/K12,0)</f>
        <v>1.1884868172546652</v>
      </c>
      <c r="M12" s="104">
        <f>M13+M18+M23+M29+M33+M34</f>
        <v>2595.2999999999997</v>
      </c>
      <c r="N12" s="104">
        <f>N13+N18+N23+N29+N33+N34</f>
        <v>2571.8</v>
      </c>
      <c r="O12" s="105">
        <f>IF(N12&gt;0,M12/N12,0)</f>
        <v>1.0091375690178084</v>
      </c>
      <c r="P12" s="131">
        <f>P13+P18+P23+P29+P33+P34</f>
        <v>1679.7000000000003</v>
      </c>
      <c r="Q12" s="104">
        <f>Q13+Q18+Q23+Q29+Q33+Q34</f>
        <v>1544.3</v>
      </c>
      <c r="R12" s="104">
        <f>R13+R18+R23+R29+R33+R34</f>
        <v>1722.3000000000002</v>
      </c>
    </row>
    <row r="13" spans="1:18" ht="18">
      <c r="A13" s="9" t="s">
        <v>77</v>
      </c>
      <c r="B13" s="18">
        <v>1010200001</v>
      </c>
      <c r="C13" s="106">
        <f aca="true" t="shared" si="1" ref="C13:H13">C14+C15+C16+C17</f>
        <v>20458.500000000004</v>
      </c>
      <c r="D13" s="106">
        <f t="shared" si="1"/>
        <v>-14.5</v>
      </c>
      <c r="E13" s="106">
        <f t="shared" si="1"/>
        <v>20444.000000000004</v>
      </c>
      <c r="F13" s="106">
        <f t="shared" si="1"/>
        <v>15410.2</v>
      </c>
      <c r="G13" s="106">
        <f t="shared" si="1"/>
        <v>12179.500000000002</v>
      </c>
      <c r="H13" s="106">
        <f t="shared" si="1"/>
        <v>13785.800000000001</v>
      </c>
      <c r="I13" s="107">
        <f aca="true" t="shared" si="2" ref="I13:I57">IF(E13&gt;0,H13/E13,0)</f>
        <v>0.6743200939150851</v>
      </c>
      <c r="J13" s="107">
        <f aca="true" t="shared" si="3" ref="J13:J57">IF(F13&gt;0,H13/F13,0)</f>
        <v>0.8945892979974303</v>
      </c>
      <c r="K13" s="106">
        <f>K14+K15+K16+K17</f>
        <v>17967.8</v>
      </c>
      <c r="L13" s="107">
        <f aca="true" t="shared" si="4" ref="L13:L57">IF(K13&gt;0,H13/K13,0)</f>
        <v>0.7672503033203844</v>
      </c>
      <c r="M13" s="106">
        <f>M14+M15+M16+M17</f>
        <v>1606.3</v>
      </c>
      <c r="N13" s="106">
        <f>N14+N15+N16+N17</f>
        <v>2034</v>
      </c>
      <c r="O13" s="107">
        <f aca="true" t="shared" si="5" ref="O13:O57">IF(N13&gt;0,M13/N13,0)</f>
        <v>0.789724680432645</v>
      </c>
      <c r="P13" s="106">
        <f>P14+P15+P16+P17</f>
        <v>74.3</v>
      </c>
      <c r="Q13" s="106">
        <f>Q14+Q15+Q16+Q17</f>
        <v>74.5</v>
      </c>
      <c r="R13" s="106">
        <f>R14+R15+R16+R17</f>
        <v>73.2</v>
      </c>
    </row>
    <row r="14" spans="1:18" ht="18" customHeight="1">
      <c r="A14" s="10" t="s">
        <v>48</v>
      </c>
      <c r="B14" s="13">
        <v>1010201001</v>
      </c>
      <c r="C14" s="108">
        <f>муниц!C6+'Лен '!C7+Высокор!C7+Гост!C7+Новотр!C7+Черн!C7</f>
        <v>20301.8</v>
      </c>
      <c r="D14" s="108">
        <f>муниц!D6+'Лен '!D7+Высокор!D7+Гост!D7+Новотр!D7+Черн!D7</f>
        <v>-14.5</v>
      </c>
      <c r="E14" s="109">
        <f>C14+D14</f>
        <v>20287.3</v>
      </c>
      <c r="F14" s="108">
        <f>муниц!F6+'Лен '!F7+Высокор!F7+Гост!F7+Новотр!F7+Черн!F7</f>
        <v>15358.6</v>
      </c>
      <c r="G14" s="108">
        <f>муниц!G6+'Лен '!G7+Высокор!G7+Гост!G7+Новотр!G7+Черн!G7</f>
        <v>12132.600000000002</v>
      </c>
      <c r="H14" s="110">
        <f>G14+M14</f>
        <v>13738.100000000002</v>
      </c>
      <c r="I14" s="111">
        <f t="shared" si="2"/>
        <v>0.6771773474045341</v>
      </c>
      <c r="J14" s="111">
        <f t="shared" si="3"/>
        <v>0.8944890810360321</v>
      </c>
      <c r="K14" s="108">
        <f>муниц!K6+'Лен '!K7+Высокор!K7+Гост!K7+Новотр!K7+Черн!K7</f>
        <v>17698.8</v>
      </c>
      <c r="L14" s="111">
        <f t="shared" si="4"/>
        <v>0.7762164666531066</v>
      </c>
      <c r="M14" s="108">
        <f>муниц!M6+'Лен '!M7+Высокор!M7+Гост!M7+Новотр!M7+Черн!M7</f>
        <v>1605.5</v>
      </c>
      <c r="N14" s="108">
        <f>муниц!N6+'Лен '!N7+Высокор!N7+Гост!N7+Новотр!N7+Черн!N7</f>
        <v>2030.9</v>
      </c>
      <c r="O14" s="111">
        <f t="shared" si="5"/>
        <v>0.7905362154709734</v>
      </c>
      <c r="P14" s="108">
        <f>муниц!P6+'Лен '!P7+Высокор!P7+Гост!P7+Новотр!P7+Черн!P7</f>
        <v>72.2</v>
      </c>
      <c r="Q14" s="108">
        <f>муниц!Q6+'Лен '!Q7+Высокор!Q7+Гост!Q7+Новотр!Q7+Черн!Q7</f>
        <v>72.2</v>
      </c>
      <c r="R14" s="108">
        <f>муниц!R6+'Лен '!R7+Высокор!R7+Гост!R7+Новотр!R7+Черн!R7</f>
        <v>71.2</v>
      </c>
    </row>
    <row r="15" spans="1:18" ht="18.75" customHeight="1">
      <c r="A15" s="10" t="s">
        <v>49</v>
      </c>
      <c r="B15" s="13">
        <v>1010202001</v>
      </c>
      <c r="C15" s="108">
        <f>муниц!C7+'Лен '!C8+Высокор!C8+Гост!C8+Новотр!C8+Черн!C8</f>
        <v>46.400000000000006</v>
      </c>
      <c r="D15" s="108">
        <f>муниц!D7+'Лен '!D8+Высокор!D8+Гост!D8+Новотр!D8+Черн!D8</f>
        <v>0</v>
      </c>
      <c r="E15" s="112">
        <f>C15+D15</f>
        <v>46.400000000000006</v>
      </c>
      <c r="F15" s="108">
        <f>муниц!F7+'Лен '!F8+Высокор!F8+Гост!F8+Новотр!F8+Черн!F8</f>
        <v>10</v>
      </c>
      <c r="G15" s="108">
        <f>муниц!G7+'Лен '!G8+Высокор!G8+Гост!G8+Новотр!G8+Черн!G8</f>
        <v>12.899999999999999</v>
      </c>
      <c r="H15" s="110">
        <f>G15+M15</f>
        <v>12.899999999999999</v>
      </c>
      <c r="I15" s="111">
        <f t="shared" si="2"/>
        <v>0.2780172413793103</v>
      </c>
      <c r="J15" s="111">
        <f t="shared" si="3"/>
        <v>1.2899999999999998</v>
      </c>
      <c r="K15" s="108">
        <f>муниц!K7+'Лен '!K8+Высокор!K8+Гост!K8+Новотр!K8+Черн!K8</f>
        <v>35.199999999999996</v>
      </c>
      <c r="L15" s="111">
        <f t="shared" si="4"/>
        <v>0.3664772727272727</v>
      </c>
      <c r="M15" s="108">
        <f>муниц!M7+'Лен '!M8+Высокор!M8+Гост!M8+Новотр!M8+Черн!M8</f>
        <v>0</v>
      </c>
      <c r="N15" s="108">
        <f>муниц!N7+'Лен '!N8+Высокор!N8+Гост!N8+Новотр!N8+Черн!N8</f>
        <v>2.5</v>
      </c>
      <c r="O15" s="111">
        <f t="shared" si="5"/>
        <v>0</v>
      </c>
      <c r="P15" s="108">
        <f>муниц!P7+'Лен '!P8+Высокор!P8+Гост!P8+Новотр!P8+Черн!P8</f>
        <v>0.30000000000000004</v>
      </c>
      <c r="Q15" s="108">
        <f>муниц!Q7+'Лен '!Q8+Высокор!Q8+Гост!Q8+Новотр!Q8+Черн!Q8</f>
        <v>0.2</v>
      </c>
      <c r="R15" s="108">
        <f>муниц!R7+'Лен '!R8+Высокор!R8+Гост!R8+Новотр!R8+Черн!R8</f>
        <v>0.2</v>
      </c>
    </row>
    <row r="16" spans="1:18" ht="18">
      <c r="A16" s="10" t="s">
        <v>50</v>
      </c>
      <c r="B16" s="13">
        <v>1010203001</v>
      </c>
      <c r="C16" s="108">
        <f>муниц!C8+'Лен '!C9+Высокор!C9+Гост!C9+Новотр!C9+Черн!C9</f>
        <v>105.9</v>
      </c>
      <c r="D16" s="108">
        <f>муниц!D8+'Лен '!D9+Высокор!D9+Гост!D9+Новотр!D9+Черн!D9</f>
        <v>0</v>
      </c>
      <c r="E16" s="112">
        <f>C16+D16</f>
        <v>105.9</v>
      </c>
      <c r="F16" s="108">
        <f>муниц!F8+'Лен '!F9+Высокор!F9+Гост!F9+Новотр!F9+Черн!F9</f>
        <v>41.6</v>
      </c>
      <c r="G16" s="108">
        <f>муниц!G8+'Лен '!G9+Высокор!G9+Гост!G9+Новотр!G9+Черн!G9</f>
        <v>32.800000000000004</v>
      </c>
      <c r="H16" s="110">
        <f>G16+M16</f>
        <v>33.50000000000001</v>
      </c>
      <c r="I16" s="111">
        <f t="shared" si="2"/>
        <v>0.3163361661945232</v>
      </c>
      <c r="J16" s="111">
        <f t="shared" si="3"/>
        <v>0.8052884615384617</v>
      </c>
      <c r="K16" s="108">
        <f>муниц!K8+'Лен '!K9+Высокор!K9+Гост!K9+Новотр!K9+Черн!K9</f>
        <v>228.00000000000003</v>
      </c>
      <c r="L16" s="111">
        <f t="shared" si="4"/>
        <v>0.14692982456140352</v>
      </c>
      <c r="M16" s="108">
        <f>муниц!M8+'Лен '!M9+Высокор!M9+Гост!M9+Новотр!M9+Черн!M9</f>
        <v>0.7</v>
      </c>
      <c r="N16" s="108">
        <f>муниц!N8+'Лен '!N9+Высокор!N9+Гост!N9+Новотр!N9+Черн!N9</f>
        <v>0.6000000000000001</v>
      </c>
      <c r="O16" s="111">
        <f t="shared" si="5"/>
        <v>1.1666666666666665</v>
      </c>
      <c r="P16" s="108">
        <f>муниц!P8+'Лен '!P9+Высокор!P9+Гост!P9+Новотр!P9+Черн!P9</f>
        <v>1.8</v>
      </c>
      <c r="Q16" s="108">
        <f>муниц!Q8+'Лен '!Q9+Высокор!Q9+Гост!Q9+Новотр!Q9+Черн!Q9</f>
        <v>2.1</v>
      </c>
      <c r="R16" s="108">
        <f>муниц!R8+'Лен '!R9+Высокор!R9+Гост!R9+Новотр!R9+Черн!R9</f>
        <v>1.8</v>
      </c>
    </row>
    <row r="17" spans="1:18" ht="18">
      <c r="A17" s="10" t="s">
        <v>40</v>
      </c>
      <c r="B17" s="13">
        <v>1010204001</v>
      </c>
      <c r="C17" s="108">
        <f>муниц!C9</f>
        <v>4.4</v>
      </c>
      <c r="D17" s="108">
        <f>муниц!D9</f>
        <v>0</v>
      </c>
      <c r="E17" s="112">
        <f>C17+D17</f>
        <v>4.4</v>
      </c>
      <c r="F17" s="108">
        <f>муниц!F9</f>
        <v>0</v>
      </c>
      <c r="G17" s="108">
        <f>муниц!G9</f>
        <v>1.2</v>
      </c>
      <c r="H17" s="110">
        <f>G17+M17</f>
        <v>1.3</v>
      </c>
      <c r="I17" s="111">
        <f t="shared" si="2"/>
        <v>0.2954545454545454</v>
      </c>
      <c r="J17" s="111">
        <f t="shared" si="3"/>
        <v>0</v>
      </c>
      <c r="K17" s="108">
        <f>муниц!K9</f>
        <v>5.8</v>
      </c>
      <c r="L17" s="111">
        <f t="shared" si="4"/>
        <v>0.22413793103448276</v>
      </c>
      <c r="M17" s="108">
        <f>муниц!M9</f>
        <v>0.1</v>
      </c>
      <c r="N17" s="108">
        <f>муниц!N9</f>
        <v>0</v>
      </c>
      <c r="O17" s="111">
        <f t="shared" si="5"/>
        <v>0</v>
      </c>
      <c r="P17" s="108">
        <f>муниц!P9</f>
        <v>0</v>
      </c>
      <c r="Q17" s="108">
        <f>муниц!Q9</f>
        <v>0</v>
      </c>
      <c r="R17" s="108">
        <f>муниц!R9</f>
        <v>0</v>
      </c>
    </row>
    <row r="18" spans="1:18" ht="18" customHeight="1">
      <c r="A18" s="11" t="s">
        <v>62</v>
      </c>
      <c r="B18" s="19">
        <v>1030200001</v>
      </c>
      <c r="C18" s="113">
        <f aca="true" t="shared" si="6" ref="C18:H18">SUM(C19:C22)</f>
        <v>9900.300000000001</v>
      </c>
      <c r="D18" s="113">
        <f t="shared" si="6"/>
        <v>0</v>
      </c>
      <c r="E18" s="113">
        <f t="shared" si="6"/>
        <v>9900.300000000001</v>
      </c>
      <c r="F18" s="113">
        <f t="shared" si="6"/>
        <v>1199.2</v>
      </c>
      <c r="G18" s="113">
        <f t="shared" si="6"/>
        <v>5352</v>
      </c>
      <c r="H18" s="113">
        <f t="shared" si="6"/>
        <v>5973.599999999999</v>
      </c>
      <c r="I18" s="107">
        <f t="shared" si="2"/>
        <v>0.6033756552831732</v>
      </c>
      <c r="J18" s="107">
        <f t="shared" si="3"/>
        <v>4.981320880587058</v>
      </c>
      <c r="K18" s="113">
        <f>SUM(K19:K22)</f>
        <v>0</v>
      </c>
      <c r="L18" s="107">
        <f t="shared" si="4"/>
        <v>0</v>
      </c>
      <c r="M18" s="113">
        <f>SUM(M19:M22)</f>
        <v>621.5999999999999</v>
      </c>
      <c r="N18" s="113">
        <f>SUM(N19:N22)</f>
        <v>0</v>
      </c>
      <c r="O18" s="107">
        <f t="shared" si="5"/>
        <v>0</v>
      </c>
      <c r="P18" s="113">
        <f>SUM(P19:P22)</f>
        <v>0</v>
      </c>
      <c r="Q18" s="113">
        <f>SUM(Q19:Q22)</f>
        <v>0</v>
      </c>
      <c r="R18" s="113">
        <f>SUM(R19:R22)</f>
        <v>0</v>
      </c>
    </row>
    <row r="19" spans="1:18" ht="18">
      <c r="A19" s="12" t="s">
        <v>63</v>
      </c>
      <c r="B19" s="12">
        <v>1030223001</v>
      </c>
      <c r="C19" s="108">
        <f>муниц!C11+'Лен '!C11+Высокор!C12+Гост!C12+Новотр!C12+Черн!C12</f>
        <v>4197.8</v>
      </c>
      <c r="D19" s="108">
        <f>муниц!D11+'Лен '!D11+Высокор!D12+Гост!D12+Новотр!D12+Черн!D12</f>
        <v>0</v>
      </c>
      <c r="E19" s="112">
        <f>C19+D19</f>
        <v>4197.8</v>
      </c>
      <c r="F19" s="108">
        <f>муниц!F11+'Лен '!F11+Высокор!F12+Гост!F12+Новотр!F12+Черн!F12</f>
        <v>499.79999999999995</v>
      </c>
      <c r="G19" s="108">
        <f>муниц!G11+'Лен '!G11+Высокор!G12+Гост!G12+Новотр!G12+Черн!G12</f>
        <v>2063.7000000000003</v>
      </c>
      <c r="H19" s="110">
        <f>G19+M19</f>
        <v>2268.7000000000003</v>
      </c>
      <c r="I19" s="111">
        <f t="shared" si="2"/>
        <v>0.5404497593977798</v>
      </c>
      <c r="J19" s="111">
        <f t="shared" si="3"/>
        <v>4.5392156862745106</v>
      </c>
      <c r="K19" s="108">
        <f>муниц!K11+'Лен '!K11+Высокор!K12+Гост!K12+Новотр!K12+Черн!K12</f>
        <v>0</v>
      </c>
      <c r="L19" s="111">
        <f t="shared" si="4"/>
        <v>0</v>
      </c>
      <c r="M19" s="108">
        <f>муниц!M11+'Лен '!M11+Высокор!M12+Гост!M12+Новотр!M12+Черн!M12</f>
        <v>205.00000000000003</v>
      </c>
      <c r="N19" s="108">
        <f>муниц!N11+'Лен '!N11+Высокор!N12+Гост!N12+Новотр!N12+Черн!N12</f>
        <v>0</v>
      </c>
      <c r="O19" s="111">
        <f t="shared" si="5"/>
        <v>0</v>
      </c>
      <c r="P19" s="108">
        <f>муниц!P11+'Лен '!P11+Высокор!P12+Гост!P12+Новотр!P12+Черн!P12</f>
        <v>0</v>
      </c>
      <c r="Q19" s="108">
        <f>муниц!Q11+'Лен '!Q11+Высокор!Q12+Гост!Q12+Новотр!Q12+Черн!Q12</f>
        <v>0</v>
      </c>
      <c r="R19" s="108">
        <f>муниц!R11+'Лен '!R11+Высокор!R12+Гост!R12+Новотр!R12+Черн!R12</f>
        <v>0</v>
      </c>
    </row>
    <row r="20" spans="1:18" ht="18">
      <c r="A20" s="12" t="s">
        <v>64</v>
      </c>
      <c r="B20" s="12">
        <v>1030224001</v>
      </c>
      <c r="C20" s="108">
        <f>муниц!C12+'Лен '!C12+Высокор!C13+Гост!C13+Новотр!C13+Черн!C13</f>
        <v>69.29999999999998</v>
      </c>
      <c r="D20" s="108">
        <f>муниц!D12+'Лен '!D12+Высокор!D13+Гост!D13+Новотр!D13+Черн!D13</f>
        <v>0</v>
      </c>
      <c r="E20" s="112">
        <f>C20+D20</f>
        <v>69.29999999999998</v>
      </c>
      <c r="F20" s="108">
        <f>муниц!F12+'Лен '!F12+Высокор!F13+Гост!F13+Новотр!F13+Черн!F13</f>
        <v>9</v>
      </c>
      <c r="G20" s="108">
        <f>муниц!G12+'Лен '!G12+Высокор!G13+Гост!G13+Новотр!G13+Черн!G13</f>
        <v>42.6</v>
      </c>
      <c r="H20" s="110">
        <f>G20+M20</f>
        <v>47.2</v>
      </c>
      <c r="I20" s="111">
        <f t="shared" si="2"/>
        <v>0.6810966810966813</v>
      </c>
      <c r="J20" s="111">
        <f t="shared" si="3"/>
        <v>5.2444444444444445</v>
      </c>
      <c r="K20" s="108">
        <f>муниц!K12+'Лен '!K12+Высокор!K13+Гост!K13+Новотр!K13+Черн!K13</f>
        <v>0</v>
      </c>
      <c r="L20" s="111">
        <f t="shared" si="4"/>
        <v>0</v>
      </c>
      <c r="M20" s="108">
        <f>муниц!M12+'Лен '!M12+Высокор!M13+Гост!M13+Новотр!M13+Черн!M13</f>
        <v>4.6000000000000005</v>
      </c>
      <c r="N20" s="108">
        <f>муниц!N12+'Лен '!N12+Высокор!N13+Гост!N13+Новотр!N13+Черн!N13</f>
        <v>0</v>
      </c>
      <c r="O20" s="111">
        <f t="shared" si="5"/>
        <v>0</v>
      </c>
      <c r="P20" s="108">
        <f>муниц!P12+'Лен '!P12+Высокор!P13+Гост!P13+Новотр!P13+Черн!P13</f>
        <v>0</v>
      </c>
      <c r="Q20" s="108">
        <f>муниц!Q12+'Лен '!Q12+Высокор!Q13+Гост!Q13+Новотр!Q13+Черн!Q13</f>
        <v>0</v>
      </c>
      <c r="R20" s="108">
        <f>муниц!R12+'Лен '!R12+Высокор!R13+Гост!R13+Новотр!R13+Черн!R13</f>
        <v>0</v>
      </c>
    </row>
    <row r="21" spans="1:18" ht="18" customHeight="1">
      <c r="A21" s="12" t="s">
        <v>65</v>
      </c>
      <c r="B21" s="12">
        <v>1030225001</v>
      </c>
      <c r="C21" s="108">
        <f>муниц!C13+'Лен '!C13+Высокор!C14+Гост!C14+Новотр!C14+Черн!C14</f>
        <v>5356</v>
      </c>
      <c r="D21" s="108">
        <f>муниц!D13+'Лен '!D13+Высокор!D14+Гост!D14+Новотр!D14+Черн!D14</f>
        <v>0</v>
      </c>
      <c r="E21" s="112">
        <f>C21+D21</f>
        <v>5356</v>
      </c>
      <c r="F21" s="108">
        <f>муниц!F13+'Лен '!F13+Высокор!F14+Гост!F14+Новотр!F14+Черн!F14</f>
        <v>649.2</v>
      </c>
      <c r="G21" s="108">
        <f>муниц!G13+'Лен '!G13+Высокор!G14+Гост!G14+Новотр!G14+Черн!G14</f>
        <v>3263.1</v>
      </c>
      <c r="H21" s="110">
        <f>G21+M21</f>
        <v>3723.7999999999997</v>
      </c>
      <c r="I21" s="111">
        <f t="shared" si="2"/>
        <v>0.6952576549663928</v>
      </c>
      <c r="J21" s="111">
        <f t="shared" si="3"/>
        <v>5.735982747997535</v>
      </c>
      <c r="K21" s="108">
        <f>муниц!K13+'Лен '!K13+Высокор!K14+Гост!K14+Новотр!K14+Черн!K14</f>
        <v>0</v>
      </c>
      <c r="L21" s="111">
        <f t="shared" si="4"/>
        <v>0</v>
      </c>
      <c r="M21" s="108">
        <f>муниц!M13+'Лен '!M13+Высокор!M14+Гост!M14+Новотр!M14+Черн!M14</f>
        <v>460.7</v>
      </c>
      <c r="N21" s="108">
        <f>муниц!N13+'Лен '!N13+Высокор!N14+Гост!N14+Новотр!N14+Черн!N14</f>
        <v>0</v>
      </c>
      <c r="O21" s="111">
        <f t="shared" si="5"/>
        <v>0</v>
      </c>
      <c r="P21" s="108">
        <f>муниц!P13+'Лен '!P13+Высокор!P14+Гост!P14+Новотр!P14+Черн!P14</f>
        <v>0</v>
      </c>
      <c r="Q21" s="108">
        <f>муниц!Q13+'Лен '!Q13+Высокор!Q14+Гост!Q14+Новотр!Q14+Черн!Q14</f>
        <v>0</v>
      </c>
      <c r="R21" s="108">
        <f>муниц!R13+'Лен '!R13+Высокор!R14+Гост!R14+Новотр!R14+Черн!R14</f>
        <v>0</v>
      </c>
    </row>
    <row r="22" spans="1:18" ht="18">
      <c r="A22" s="12" t="s">
        <v>66</v>
      </c>
      <c r="B22" s="12">
        <v>1030226001</v>
      </c>
      <c r="C22" s="108">
        <f>муниц!C14+'Лен '!C14+Высокор!C15+Гост!C15+Новотр!C15+Черн!C15</f>
        <v>277.2</v>
      </c>
      <c r="D22" s="108">
        <f>муниц!D14+'Лен '!D14+Высокор!D15+Гост!D15+Новотр!D15+Черн!D15</f>
        <v>0</v>
      </c>
      <c r="E22" s="112">
        <f>C22+D22</f>
        <v>277.2</v>
      </c>
      <c r="F22" s="108">
        <f>муниц!F14+'Лен '!F14+Высокор!F15+Гост!F15+Новотр!F15+Черн!F15</f>
        <v>41.199999999999996</v>
      </c>
      <c r="G22" s="108">
        <f>муниц!G14+'Лен '!G14+Высокор!G15+Гост!G15+Новотр!G15+Черн!G15</f>
        <v>-17.4</v>
      </c>
      <c r="H22" s="110">
        <f>G22+M22</f>
        <v>-66.1</v>
      </c>
      <c r="I22" s="111">
        <f t="shared" si="2"/>
        <v>-0.23845598845598845</v>
      </c>
      <c r="J22" s="111">
        <f t="shared" si="3"/>
        <v>-1.604368932038835</v>
      </c>
      <c r="K22" s="108">
        <f>муниц!K14+'Лен '!K14+Высокор!K15+Гост!K15+Новотр!K15+Черн!K15</f>
        <v>0</v>
      </c>
      <c r="L22" s="111">
        <f t="shared" si="4"/>
        <v>0</v>
      </c>
      <c r="M22" s="108">
        <f>муниц!M14+'Лен '!M14+Высокор!M15+Гост!M15+Новотр!M15+Черн!M15</f>
        <v>-48.699999999999996</v>
      </c>
      <c r="N22" s="108">
        <f>муниц!N14+'Лен '!N14+Высокор!N15+Гост!N15+Новотр!N15+Черн!N15</f>
        <v>0</v>
      </c>
      <c r="O22" s="111">
        <f t="shared" si="5"/>
        <v>0</v>
      </c>
      <c r="P22" s="108">
        <f>муниц!P14+'Лен '!P14+Высокор!P15+Гост!P15+Новотр!P15+Черн!P15</f>
        <v>0</v>
      </c>
      <c r="Q22" s="108">
        <f>муниц!Q14+'Лен '!Q14+Высокор!Q15+Гост!Q15+Новотр!Q15+Черн!Q15</f>
        <v>0</v>
      </c>
      <c r="R22" s="108">
        <f>муниц!R14+'Лен '!R14+Высокор!R15+Гост!R15+Новотр!R15+Черн!R15</f>
        <v>0</v>
      </c>
    </row>
    <row r="23" spans="1:18" ht="18">
      <c r="A23" s="9" t="s">
        <v>98</v>
      </c>
      <c r="B23" s="18">
        <v>1050000000</v>
      </c>
      <c r="C23" s="106">
        <f aca="true" t="shared" si="7" ref="C23:H23">C24+C25+C26+C27+C28</f>
        <v>14745.1</v>
      </c>
      <c r="D23" s="106">
        <f t="shared" si="7"/>
        <v>150</v>
      </c>
      <c r="E23" s="106">
        <f t="shared" si="7"/>
        <v>14895.1</v>
      </c>
      <c r="F23" s="106">
        <f t="shared" si="7"/>
        <v>11618</v>
      </c>
      <c r="G23" s="106">
        <f t="shared" si="7"/>
        <v>10408.8</v>
      </c>
      <c r="H23" s="106">
        <f t="shared" si="7"/>
        <v>10478.300000000001</v>
      </c>
      <c r="I23" s="107">
        <f t="shared" si="2"/>
        <v>0.7034729541929897</v>
      </c>
      <c r="J23" s="107">
        <f t="shared" si="3"/>
        <v>0.9019022206920297</v>
      </c>
      <c r="K23" s="106">
        <f>K24+K25+K26+K27+K28</f>
        <v>7033.3</v>
      </c>
      <c r="L23" s="107">
        <f t="shared" si="4"/>
        <v>1.4898127479277155</v>
      </c>
      <c r="M23" s="106">
        <f>M24+M25+M26+M27+M28</f>
        <v>69.5</v>
      </c>
      <c r="N23" s="106">
        <f>N24+N25+N26+N27+N28</f>
        <v>123.8</v>
      </c>
      <c r="O23" s="107">
        <f t="shared" si="5"/>
        <v>0.561389337641357</v>
      </c>
      <c r="P23" s="106">
        <f>P24+P25+P26+P27+P28</f>
        <v>155.2</v>
      </c>
      <c r="Q23" s="106">
        <f>Q24+Q25+Q26+Q27+Q28</f>
        <v>489.09999999999997</v>
      </c>
      <c r="R23" s="106">
        <f>R24+R25+R26+R27+R28</f>
        <v>713.3000000000001</v>
      </c>
    </row>
    <row r="24" spans="1:18" ht="18">
      <c r="A24" s="10" t="s">
        <v>67</v>
      </c>
      <c r="B24" s="28">
        <v>1050101001</v>
      </c>
      <c r="C24" s="108">
        <f>муниц!C16</f>
        <v>9362.2</v>
      </c>
      <c r="D24" s="108">
        <f>муниц!D16</f>
        <v>0</v>
      </c>
      <c r="E24" s="112">
        <f>C24+D24</f>
        <v>9362.2</v>
      </c>
      <c r="F24" s="108">
        <f>муниц!F16</f>
        <v>7510</v>
      </c>
      <c r="G24" s="108">
        <f>муниц!G16</f>
        <v>6012.2</v>
      </c>
      <c r="H24" s="110">
        <f>G24+M24</f>
        <v>6033</v>
      </c>
      <c r="I24" s="111">
        <f t="shared" si="2"/>
        <v>0.6443998205549977</v>
      </c>
      <c r="J24" s="111">
        <f t="shared" si="3"/>
        <v>0.8033288948069242</v>
      </c>
      <c r="K24" s="108">
        <f>муниц!K16</f>
        <v>3146.9</v>
      </c>
      <c r="L24" s="111">
        <f t="shared" si="4"/>
        <v>1.9171247894753567</v>
      </c>
      <c r="M24" s="108">
        <f>муниц!M16</f>
        <v>20.8</v>
      </c>
      <c r="N24" s="108">
        <f>муниц!N16</f>
        <v>116.8</v>
      </c>
      <c r="O24" s="111">
        <f t="shared" si="5"/>
        <v>0.17808219178082194</v>
      </c>
      <c r="P24" s="108">
        <f>муниц!P16</f>
        <v>81.1</v>
      </c>
      <c r="Q24" s="108">
        <f>муниц!Q16</f>
        <v>422.7</v>
      </c>
      <c r="R24" s="108">
        <f>муниц!R16</f>
        <v>517.9</v>
      </c>
    </row>
    <row r="25" spans="1:18" ht="18">
      <c r="A25" s="10" t="s">
        <v>68</v>
      </c>
      <c r="B25" s="28">
        <v>1050102001</v>
      </c>
      <c r="C25" s="108">
        <f>муниц!C17</f>
        <v>1949.9</v>
      </c>
      <c r="D25" s="108">
        <f>муниц!D17</f>
        <v>0</v>
      </c>
      <c r="E25" s="112">
        <f>C25+D25</f>
        <v>1949.9</v>
      </c>
      <c r="F25" s="108">
        <f>муниц!F17</f>
        <v>740</v>
      </c>
      <c r="G25" s="108">
        <f>муниц!G17</f>
        <v>822.2</v>
      </c>
      <c r="H25" s="110">
        <f>G25+M25</f>
        <v>843.6</v>
      </c>
      <c r="I25" s="111">
        <f t="shared" si="2"/>
        <v>0.43263757115749524</v>
      </c>
      <c r="J25" s="111">
        <f t="shared" si="3"/>
        <v>1.1400000000000001</v>
      </c>
      <c r="K25" s="108">
        <f>муниц!K17</f>
        <v>592.3</v>
      </c>
      <c r="L25" s="111">
        <f t="shared" si="4"/>
        <v>1.4242782373797063</v>
      </c>
      <c r="M25" s="108">
        <f>муниц!M17</f>
        <v>21.4</v>
      </c>
      <c r="N25" s="108">
        <f>муниц!N17</f>
        <v>0.7</v>
      </c>
      <c r="O25" s="111">
        <f t="shared" si="5"/>
        <v>30.571428571428573</v>
      </c>
      <c r="P25" s="108">
        <f>муниц!P17</f>
        <v>14.9</v>
      </c>
      <c r="Q25" s="108">
        <f>муниц!Q17</f>
        <v>46.7</v>
      </c>
      <c r="R25" s="108">
        <f>муниц!R17</f>
        <v>46.7</v>
      </c>
    </row>
    <row r="26" spans="1:18" ht="18">
      <c r="A26" s="13" t="s">
        <v>0</v>
      </c>
      <c r="B26" s="28">
        <v>1050200001</v>
      </c>
      <c r="C26" s="108">
        <f>муниц!C18</f>
        <v>3393</v>
      </c>
      <c r="D26" s="108">
        <f>муниц!D18</f>
        <v>150</v>
      </c>
      <c r="E26" s="112">
        <f>C26+D26</f>
        <v>3543</v>
      </c>
      <c r="F26" s="108">
        <f>муниц!F18</f>
        <v>3330</v>
      </c>
      <c r="G26" s="108">
        <f>муниц!G18</f>
        <v>3422.7</v>
      </c>
      <c r="H26" s="110">
        <f>G26+M26</f>
        <v>3443</v>
      </c>
      <c r="I26" s="111">
        <f t="shared" si="2"/>
        <v>0.9717753316398532</v>
      </c>
      <c r="J26" s="111">
        <f t="shared" si="3"/>
        <v>1.033933933933934</v>
      </c>
      <c r="K26" s="108">
        <f>муниц!K18</f>
        <v>3215.5</v>
      </c>
      <c r="L26" s="111">
        <f t="shared" si="4"/>
        <v>1.070751049603483</v>
      </c>
      <c r="M26" s="108">
        <f>муниц!M18</f>
        <v>20.3</v>
      </c>
      <c r="N26" s="108">
        <f>муниц!N18</f>
        <v>6.2</v>
      </c>
      <c r="O26" s="111">
        <f t="shared" si="5"/>
        <v>3.274193548387097</v>
      </c>
      <c r="P26" s="108">
        <f>муниц!P18</f>
        <v>59.2</v>
      </c>
      <c r="Q26" s="108">
        <f>муниц!Q18</f>
        <v>19.7</v>
      </c>
      <c r="R26" s="108">
        <f>муниц!R18</f>
        <v>137.5</v>
      </c>
    </row>
    <row r="27" spans="1:18" ht="18">
      <c r="A27" s="13" t="s">
        <v>9</v>
      </c>
      <c r="B27" s="28">
        <v>1050300001</v>
      </c>
      <c r="C27" s="108">
        <f>муниц!C19+'Лен '!C16+Высокор!C17+Гост!C17+Новотр!C17+Черн!C17</f>
        <v>4</v>
      </c>
      <c r="D27" s="108">
        <f>муниц!D19+'Лен '!D16+Высокор!D17+Гост!D17+Новотр!D17+Черн!D17</f>
        <v>0</v>
      </c>
      <c r="E27" s="112">
        <f>C27+D27</f>
        <v>4</v>
      </c>
      <c r="F27" s="108">
        <f>муниц!F19+'Лен '!F16+Высокор!F17+Гост!F17+Новотр!F17+Черн!F17</f>
        <v>2</v>
      </c>
      <c r="G27" s="108">
        <f>муниц!G19+'Лен '!G16+Высокор!G17+Гост!G17+Новотр!G17+Черн!G17</f>
        <v>19</v>
      </c>
      <c r="H27" s="110">
        <f>G27+M27</f>
        <v>20</v>
      </c>
      <c r="I27" s="111">
        <f t="shared" si="2"/>
        <v>5</v>
      </c>
      <c r="J27" s="111">
        <f t="shared" si="3"/>
        <v>10</v>
      </c>
      <c r="K27" s="108">
        <f>муниц!K19+'Лен '!K16+Высокор!K17+Гост!K17+Новотр!K17+Черн!K17</f>
        <v>11</v>
      </c>
      <c r="L27" s="111">
        <f t="shared" si="4"/>
        <v>1.8181818181818181</v>
      </c>
      <c r="M27" s="108">
        <f>муниц!M19+'Лен '!M16+Высокор!M17+Гост!M17+Новотр!M17+Черн!M17</f>
        <v>1</v>
      </c>
      <c r="N27" s="108">
        <f>муниц!N19+'Лен '!N16+Высокор!N17+Гост!N17+Новотр!N17+Черн!N17</f>
        <v>0.1</v>
      </c>
      <c r="O27" s="111">
        <f t="shared" si="5"/>
        <v>10</v>
      </c>
      <c r="P27" s="108">
        <f>муниц!P19+'Лен '!P16+Высокор!P17+Гост!P17+Новотр!P17+Черн!P17</f>
        <v>0</v>
      </c>
      <c r="Q27" s="108">
        <f>муниц!Q19+'Лен '!Q16+Высокор!Q17+Гост!Q17+Новотр!Q17+Черн!Q17</f>
        <v>0</v>
      </c>
      <c r="R27" s="108">
        <f>муниц!R19+'Лен '!R16+Высокор!R17+Гост!R17+Новотр!R17+Черн!R17</f>
        <v>9</v>
      </c>
    </row>
    <row r="28" spans="1:18" ht="18">
      <c r="A28" s="10" t="s">
        <v>39</v>
      </c>
      <c r="B28" s="28">
        <v>1050402002</v>
      </c>
      <c r="C28" s="108">
        <f>муниц!C20</f>
        <v>36</v>
      </c>
      <c r="D28" s="108">
        <f>муниц!D20</f>
        <v>0</v>
      </c>
      <c r="E28" s="112">
        <f>C28+D28</f>
        <v>36</v>
      </c>
      <c r="F28" s="108">
        <f>муниц!F20</f>
        <v>36</v>
      </c>
      <c r="G28" s="108">
        <f>муниц!G20</f>
        <v>132.7</v>
      </c>
      <c r="H28" s="110">
        <f>G28+M28</f>
        <v>138.7</v>
      </c>
      <c r="I28" s="111">
        <f t="shared" si="2"/>
        <v>3.8527777777777774</v>
      </c>
      <c r="J28" s="111">
        <f t="shared" si="3"/>
        <v>3.8527777777777774</v>
      </c>
      <c r="K28" s="108">
        <f>муниц!K20</f>
        <v>67.6</v>
      </c>
      <c r="L28" s="111">
        <f t="shared" si="4"/>
        <v>2.051775147928994</v>
      </c>
      <c r="M28" s="108">
        <f>муниц!M20</f>
        <v>6</v>
      </c>
      <c r="N28" s="108">
        <f>муниц!N20</f>
        <v>0</v>
      </c>
      <c r="O28" s="111">
        <f t="shared" si="5"/>
        <v>0</v>
      </c>
      <c r="P28" s="108">
        <f>муниц!P20</f>
        <v>0</v>
      </c>
      <c r="Q28" s="108">
        <f>муниц!Q20</f>
        <v>0</v>
      </c>
      <c r="R28" s="108">
        <f>муниц!R20</f>
        <v>2.2</v>
      </c>
    </row>
    <row r="29" spans="1:18" ht="18">
      <c r="A29" s="9" t="s">
        <v>96</v>
      </c>
      <c r="B29" s="18">
        <v>1060000000</v>
      </c>
      <c r="C29" s="114">
        <f aca="true" t="shared" si="8" ref="C29:H29">C30+C31+C32</f>
        <v>5292.3</v>
      </c>
      <c r="D29" s="114">
        <f t="shared" si="8"/>
        <v>50</v>
      </c>
      <c r="E29" s="114">
        <f t="shared" si="8"/>
        <v>5342.3</v>
      </c>
      <c r="F29" s="114">
        <f t="shared" si="8"/>
        <v>2920.6000000000004</v>
      </c>
      <c r="G29" s="114">
        <f t="shared" si="8"/>
        <v>3691</v>
      </c>
      <c r="H29" s="114">
        <f t="shared" si="8"/>
        <v>3941.8999999999996</v>
      </c>
      <c r="I29" s="107">
        <f t="shared" si="2"/>
        <v>0.7378657132695654</v>
      </c>
      <c r="J29" s="107">
        <f t="shared" si="3"/>
        <v>1.3496884201876325</v>
      </c>
      <c r="K29" s="114">
        <f>K30+K31+K32</f>
        <v>3746.2000000000003</v>
      </c>
      <c r="L29" s="107">
        <f t="shared" si="4"/>
        <v>1.0522396027975014</v>
      </c>
      <c r="M29" s="114">
        <f>M30+M31+M32</f>
        <v>250.89999999999998</v>
      </c>
      <c r="N29" s="114">
        <f>N30+N31+N32</f>
        <v>361.20000000000005</v>
      </c>
      <c r="O29" s="107">
        <f t="shared" si="5"/>
        <v>0.6946290143964561</v>
      </c>
      <c r="P29" s="106">
        <f>P30+P31+P32</f>
        <v>1450.2000000000003</v>
      </c>
      <c r="Q29" s="114">
        <f>Q30+Q31+Q32</f>
        <v>980.7</v>
      </c>
      <c r="R29" s="114">
        <f>R30+R31+R32</f>
        <v>935.8</v>
      </c>
    </row>
    <row r="30" spans="1:18" ht="18">
      <c r="A30" s="13" t="s">
        <v>19</v>
      </c>
      <c r="B30" s="13">
        <v>1060103003</v>
      </c>
      <c r="C30" s="108">
        <f>'Лен '!C21+Высокор!C22+Гост!C22+Новотр!C22+Черн!C22</f>
        <v>1119.2</v>
      </c>
      <c r="D30" s="108">
        <f>'Лен '!D21+Высокор!D22+Гост!D22+Новотр!D22+Черн!D22</f>
        <v>0</v>
      </c>
      <c r="E30" s="112">
        <f>C30+D30</f>
        <v>1119.2</v>
      </c>
      <c r="F30" s="108">
        <f>'Лен '!F21+Высокор!F22+Гост!F22+Новотр!F22+Черн!F22</f>
        <v>107.7</v>
      </c>
      <c r="G30" s="110">
        <f>'Лен '!G21+Высокор!G22+Гост!G22+Новотр!G22+Черн!G22</f>
        <v>497.4</v>
      </c>
      <c r="H30" s="110">
        <f>G30+M30</f>
        <v>657</v>
      </c>
      <c r="I30" s="111">
        <f>IF(E30&gt;0,H30/E30,0)</f>
        <v>0.5870264474624731</v>
      </c>
      <c r="J30" s="111">
        <f>IF(F30&gt;0,H30/F30,0)</f>
        <v>6.100278551532034</v>
      </c>
      <c r="K30" s="110">
        <f>'Лен '!K21+Высокор!K22+Гост!K22+Новотр!K22+Черн!K22</f>
        <v>344.6</v>
      </c>
      <c r="L30" s="111">
        <f>IF(K30&gt;0,H30/K30,0)</f>
        <v>1.9065583284968077</v>
      </c>
      <c r="M30" s="110">
        <f>'Лен '!M21+Высокор!M22+Гост!M22+Новотр!M22+Черн!M22</f>
        <v>159.6</v>
      </c>
      <c r="N30" s="110">
        <f>'Лен '!N21+Высокор!N22+Гост!N22+Новотр!N22+Черн!N22</f>
        <v>175.2</v>
      </c>
      <c r="O30" s="111">
        <f>IF(N30&gt;0,M30/N30,0)</f>
        <v>0.910958904109589</v>
      </c>
      <c r="P30" s="110">
        <f>'Лен '!P21+Высокор!P22+Гост!P22+Новотр!P22+Черн!P22</f>
        <v>316.09999999999997</v>
      </c>
      <c r="Q30" s="110">
        <f>'Лен '!Q21+Высокор!Q22+Гост!Q22+Новотр!Q22+Черн!Q22</f>
        <v>165.5</v>
      </c>
      <c r="R30" s="110">
        <f>'Лен '!R21+Высокор!R22+Гост!R22+Новотр!R22+Черн!R22</f>
        <v>162.39999999999995</v>
      </c>
    </row>
    <row r="31" spans="1:18" ht="18">
      <c r="A31" s="13" t="s">
        <v>24</v>
      </c>
      <c r="B31" s="13">
        <v>1060201002</v>
      </c>
      <c r="C31" s="108">
        <f>муниц!C21</f>
        <v>2383.4</v>
      </c>
      <c r="D31" s="108">
        <f>муниц!D21</f>
        <v>0</v>
      </c>
      <c r="E31" s="112">
        <f>C31+D31</f>
        <v>2383.4</v>
      </c>
      <c r="F31" s="108">
        <f>муниц!F21</f>
        <v>1760</v>
      </c>
      <c r="G31" s="108">
        <f>муниц!G21</f>
        <v>1810.4</v>
      </c>
      <c r="H31" s="110">
        <f>G31+M31</f>
        <v>1810.3000000000002</v>
      </c>
      <c r="I31" s="111">
        <f t="shared" si="2"/>
        <v>0.7595451875472016</v>
      </c>
      <c r="J31" s="111">
        <f t="shared" si="3"/>
        <v>1.0285795454545457</v>
      </c>
      <c r="K31" s="108">
        <f>муниц!K21</f>
        <v>2018.7</v>
      </c>
      <c r="L31" s="111">
        <f t="shared" si="4"/>
        <v>0.8967652449596275</v>
      </c>
      <c r="M31" s="108">
        <f>муниц!M21</f>
        <v>-0.1</v>
      </c>
      <c r="N31" s="108">
        <f>муниц!N21</f>
        <v>55.4</v>
      </c>
      <c r="O31" s="111">
        <f t="shared" si="5"/>
        <v>-0.0018050541516245488</v>
      </c>
      <c r="P31" s="108">
        <f>муниц!P21</f>
        <v>86.8</v>
      </c>
      <c r="Q31" s="108">
        <f>муниц!Q21</f>
        <v>125.7</v>
      </c>
      <c r="R31" s="108">
        <f>муниц!R21</f>
        <v>121.6</v>
      </c>
    </row>
    <row r="32" spans="1:18" ht="18">
      <c r="A32" s="13" t="s">
        <v>18</v>
      </c>
      <c r="B32" s="13">
        <v>1060600000</v>
      </c>
      <c r="C32" s="108">
        <f>'Лен '!C18+Высокор!C19+Гост!C19+Новотр!C19+Черн!C19</f>
        <v>1789.6999999999998</v>
      </c>
      <c r="D32" s="108">
        <f>'Лен '!D18+Высокор!D19+Гост!D19+Новотр!D19+Черн!D19</f>
        <v>50</v>
      </c>
      <c r="E32" s="109">
        <f>C32+D32</f>
        <v>1839.6999999999998</v>
      </c>
      <c r="F32" s="108">
        <f>'Лен '!F18+Высокор!F19+Гост!F19+Новотр!F19+Черн!F19</f>
        <v>1052.9</v>
      </c>
      <c r="G32" s="110">
        <f>'Лен '!G18+Высокор!G19+Гост!G19+Новотр!G19+Черн!G19</f>
        <v>1383.1999999999996</v>
      </c>
      <c r="H32" s="110">
        <f>G32+M32</f>
        <v>1474.5999999999997</v>
      </c>
      <c r="I32" s="111">
        <f t="shared" si="2"/>
        <v>0.801543729955971</v>
      </c>
      <c r="J32" s="111">
        <f t="shared" si="3"/>
        <v>1.4005128692183488</v>
      </c>
      <c r="K32" s="110">
        <f>'Лен '!K18+Высокор!K19+Гост!K19+Новотр!K19+Черн!K19</f>
        <v>1382.9</v>
      </c>
      <c r="L32" s="111">
        <f t="shared" si="4"/>
        <v>1.0663099284113093</v>
      </c>
      <c r="M32" s="110">
        <f>'Лен '!M18+Высокор!M19+Гост!M19+Новотр!M19+Черн!M19</f>
        <v>91.39999999999999</v>
      </c>
      <c r="N32" s="110">
        <f>'Лен '!N18+Высокор!N19+Гост!N19+Новотр!N19+Черн!N19</f>
        <v>130.60000000000002</v>
      </c>
      <c r="O32" s="111">
        <f t="shared" si="5"/>
        <v>0.6998468606431851</v>
      </c>
      <c r="P32" s="110">
        <f>'Лен '!P18+Высокор!P19+Гост!P19+Новотр!P19+Черн!P19</f>
        <v>1047.3000000000002</v>
      </c>
      <c r="Q32" s="110">
        <f>'Лен '!Q18+Высокор!Q19+Гост!Q19+Новотр!Q19+Черн!Q19</f>
        <v>689.5000000000001</v>
      </c>
      <c r="R32" s="110">
        <f>'Лен '!R18+Высокор!R19+Гост!R19+Новотр!R19+Черн!R19</f>
        <v>651.8</v>
      </c>
    </row>
    <row r="33" spans="1:18" ht="18">
      <c r="A33" s="9" t="s">
        <v>99</v>
      </c>
      <c r="B33" s="18">
        <v>1080000000</v>
      </c>
      <c r="C33" s="113">
        <f>муниц!C22+Высокор!C23+Гост!C23+Новотр!C23+Черн!C23</f>
        <v>318.1</v>
      </c>
      <c r="D33" s="113">
        <f>муниц!D22+Высокор!D23+Гост!D23+Новотр!D23+Черн!D23</f>
        <v>0</v>
      </c>
      <c r="E33" s="115">
        <f>C33+D33</f>
        <v>318.1</v>
      </c>
      <c r="F33" s="113">
        <f>муниц!F22+Высокор!F23+Гост!F23+Новотр!F23+Черн!F23</f>
        <v>312</v>
      </c>
      <c r="G33" s="113">
        <f>муниц!G22+Высокор!G23+Гост!G23+Новотр!G23+Черн!G23</f>
        <v>383.8</v>
      </c>
      <c r="H33" s="106">
        <f>G33+M33</f>
        <v>430.8</v>
      </c>
      <c r="I33" s="107">
        <f t="shared" si="2"/>
        <v>1.3542911034265954</v>
      </c>
      <c r="J33" s="107">
        <f t="shared" si="3"/>
        <v>1.3807692307692307</v>
      </c>
      <c r="K33" s="113">
        <f>муниц!K22+Высокор!K23+Гост!K23+Новотр!K23+Черн!K23</f>
        <v>369.69999999999993</v>
      </c>
      <c r="L33" s="107">
        <f t="shared" si="4"/>
        <v>1.1652691371382204</v>
      </c>
      <c r="M33" s="113">
        <f>муниц!M22+Высокор!M23+Гост!M23+Новотр!M23+Черн!M23</f>
        <v>47</v>
      </c>
      <c r="N33" s="113">
        <f>муниц!N22+Высокор!N23+Гост!N23+Новотр!N23+Черн!N23</f>
        <v>52.80000000000001</v>
      </c>
      <c r="O33" s="107">
        <f t="shared" si="5"/>
        <v>0.8901515151515149</v>
      </c>
      <c r="P33" s="116"/>
      <c r="Q33" s="116"/>
      <c r="R33" s="116"/>
    </row>
    <row r="34" spans="1:18" ht="18">
      <c r="A34" s="9" t="s">
        <v>100</v>
      </c>
      <c r="B34" s="18">
        <v>1090000000</v>
      </c>
      <c r="C34" s="113">
        <f>муниц!C23+'Лен '!C22+Высокор!C24+Гост!C24+Новотр!C24+Черн!C24</f>
        <v>5.3999999999999995</v>
      </c>
      <c r="D34" s="113">
        <f>муниц!D23+'Лен '!D22+Высокор!D24+Гост!D24+Новотр!D24+Черн!D24</f>
        <v>0</v>
      </c>
      <c r="E34" s="115">
        <f>C34+D34</f>
        <v>5.3999999999999995</v>
      </c>
      <c r="F34" s="113">
        <f>муниц!F23+'Лен '!F22+Высокор!F24+Гост!F24+Новотр!F24+Черн!F24</f>
        <v>0</v>
      </c>
      <c r="G34" s="113">
        <f>муниц!G23+'Лен '!G22+Высокор!G24+Гост!G24+Новотр!G24+Черн!G24</f>
        <v>0</v>
      </c>
      <c r="H34" s="106">
        <f>G34+M34</f>
        <v>0</v>
      </c>
      <c r="I34" s="107">
        <f t="shared" si="2"/>
        <v>0</v>
      </c>
      <c r="J34" s="107">
        <f t="shared" si="3"/>
        <v>0</v>
      </c>
      <c r="K34" s="113">
        <f>муниц!K23+'Лен '!K22+Высокор!K24+Гост!K24+Новотр!K24+Черн!K24</f>
        <v>4.3999999999999995</v>
      </c>
      <c r="L34" s="107">
        <f t="shared" si="4"/>
        <v>0</v>
      </c>
      <c r="M34" s="113">
        <f>муниц!M23+'Лен '!M22+Высокор!M24+Гост!M24+Новотр!M24+Черн!M24</f>
        <v>0</v>
      </c>
      <c r="N34" s="113">
        <f>муниц!N23+'Лен '!N22+Высокор!N24+Гост!N24+Новотр!N24+Черн!N24</f>
        <v>0</v>
      </c>
      <c r="O34" s="107">
        <f t="shared" si="5"/>
        <v>0</v>
      </c>
      <c r="P34" s="113">
        <f>муниц!P23+'Лен '!P22+Высокор!P24+Гост!P24+Новотр!P24+Черн!P24</f>
        <v>0</v>
      </c>
      <c r="Q34" s="113">
        <f>муниц!Q23+'Лен '!Q22+Высокор!Q24+Гост!Q24+Новотр!Q24+Черн!Q24</f>
        <v>0</v>
      </c>
      <c r="R34" s="113">
        <f>муниц!R23+'Лен '!R22+Высокор!R24+Гост!R24+Новотр!R24+Черн!R24</f>
        <v>0</v>
      </c>
    </row>
    <row r="35" spans="1:18" ht="18">
      <c r="A35" s="14" t="s">
        <v>27</v>
      </c>
      <c r="B35" s="20"/>
      <c r="C35" s="117">
        <f aca="true" t="shared" si="9" ref="C35:H35">C36+C42+C43+C47+C50+C51</f>
        <v>12386.625</v>
      </c>
      <c r="D35" s="118">
        <f t="shared" si="9"/>
        <v>1657.527</v>
      </c>
      <c r="E35" s="118">
        <f t="shared" si="9"/>
        <v>14044.152</v>
      </c>
      <c r="F35" s="118">
        <f t="shared" si="9"/>
        <v>9499.2</v>
      </c>
      <c r="G35" s="118">
        <f t="shared" si="9"/>
        <v>9358.3</v>
      </c>
      <c r="H35" s="118">
        <f t="shared" si="9"/>
        <v>11079.300000000001</v>
      </c>
      <c r="I35" s="105">
        <f t="shared" si="2"/>
        <v>0.7888906357607067</v>
      </c>
      <c r="J35" s="105">
        <f t="shared" si="3"/>
        <v>1.1663403233956544</v>
      </c>
      <c r="K35" s="118">
        <f>K36+K42+K43+K47+K50+K51</f>
        <v>11073.4</v>
      </c>
      <c r="L35" s="105">
        <f t="shared" si="4"/>
        <v>1.0005328083515452</v>
      </c>
      <c r="M35" s="118">
        <f>M36+M42+M43+M47+M50+M51</f>
        <v>1721</v>
      </c>
      <c r="N35" s="118">
        <f>N36+N42+N43+N47+N50+N51</f>
        <v>1323.4</v>
      </c>
      <c r="O35" s="105">
        <f t="shared" si="5"/>
        <v>1.3004382650748072</v>
      </c>
      <c r="P35" s="118">
        <f>P36+P42+P43+P47+P50+P51</f>
        <v>619.7</v>
      </c>
      <c r="Q35" s="118">
        <f>Q36+Q42+Q43+Q47+Q50+Q51</f>
        <v>631.1</v>
      </c>
      <c r="R35" s="118">
        <f>R36+R42+R43+R47+R50+R51</f>
        <v>664</v>
      </c>
    </row>
    <row r="36" spans="1:18" ht="18">
      <c r="A36" s="9" t="s">
        <v>101</v>
      </c>
      <c r="B36" s="18">
        <v>1110000000</v>
      </c>
      <c r="C36" s="113">
        <f aca="true" t="shared" si="10" ref="C36:H36">SUM(C37:C41)</f>
        <v>3964.5249999999996</v>
      </c>
      <c r="D36" s="113">
        <f t="shared" si="10"/>
        <v>177.19599999999997</v>
      </c>
      <c r="E36" s="113">
        <f t="shared" si="10"/>
        <v>4141.721</v>
      </c>
      <c r="F36" s="113">
        <f t="shared" si="10"/>
        <v>2355.9</v>
      </c>
      <c r="G36" s="113">
        <f t="shared" si="10"/>
        <v>2802.4</v>
      </c>
      <c r="H36" s="113">
        <f t="shared" si="10"/>
        <v>3286</v>
      </c>
      <c r="I36" s="107">
        <f t="shared" si="2"/>
        <v>0.7933899941594329</v>
      </c>
      <c r="J36" s="107">
        <f t="shared" si="3"/>
        <v>1.3947960439747018</v>
      </c>
      <c r="K36" s="113">
        <f>SUM(K37:K41)</f>
        <v>3430.7999999999997</v>
      </c>
      <c r="L36" s="107">
        <f t="shared" si="4"/>
        <v>0.9577941005013408</v>
      </c>
      <c r="M36" s="113">
        <f>SUM(M37:M41)</f>
        <v>483.59999999999997</v>
      </c>
      <c r="N36" s="113">
        <f>SUM(N37:N41)</f>
        <v>170</v>
      </c>
      <c r="O36" s="107">
        <f t="shared" si="5"/>
        <v>2.844705882352941</v>
      </c>
      <c r="P36" s="113">
        <f>SUM(P37:P41)</f>
        <v>619.7</v>
      </c>
      <c r="Q36" s="113">
        <f>SUM(Q37:Q41)</f>
        <v>631.1</v>
      </c>
      <c r="R36" s="113">
        <f>SUM(R37:R41)</f>
        <v>664</v>
      </c>
    </row>
    <row r="37" spans="1:18" ht="18">
      <c r="A37" s="13" t="s">
        <v>25</v>
      </c>
      <c r="B37" s="13">
        <v>1110105005</v>
      </c>
      <c r="C37" s="108">
        <f>муниц!C26</f>
        <v>0</v>
      </c>
      <c r="D37" s="108">
        <f>муниц!D26</f>
        <v>0</v>
      </c>
      <c r="E37" s="112">
        <f aca="true" t="shared" si="11" ref="E37:E50">C37+D37</f>
        <v>0</v>
      </c>
      <c r="F37" s="108">
        <f>муниц!F26</f>
        <v>0</v>
      </c>
      <c r="G37" s="108">
        <f>муниц!G26</f>
        <v>0</v>
      </c>
      <c r="H37" s="110">
        <f aca="true" t="shared" si="12" ref="H37:H42">G37+M37</f>
        <v>0</v>
      </c>
      <c r="I37" s="111">
        <f t="shared" si="2"/>
        <v>0</v>
      </c>
      <c r="J37" s="111">
        <f t="shared" si="3"/>
        <v>0</v>
      </c>
      <c r="K37" s="108">
        <f>муниц!K26</f>
        <v>0.3</v>
      </c>
      <c r="L37" s="111">
        <f t="shared" si="4"/>
        <v>0</v>
      </c>
      <c r="M37" s="108">
        <f>муниц!M26</f>
        <v>0</v>
      </c>
      <c r="N37" s="108">
        <f>муниц!N26</f>
        <v>0</v>
      </c>
      <c r="O37" s="111">
        <f t="shared" si="5"/>
        <v>0</v>
      </c>
      <c r="P37" s="108"/>
      <c r="Q37" s="108"/>
      <c r="R37" s="108"/>
    </row>
    <row r="38" spans="1:18" ht="18">
      <c r="A38" s="13" t="s">
        <v>1</v>
      </c>
      <c r="B38" s="13">
        <v>1110501013</v>
      </c>
      <c r="C38" s="108">
        <f>муниц!C27+муниц!C28+'Лен '!C25+Высокор!C27+Гост!C27+Новотр!C27+Черн!C27</f>
        <v>2818.1</v>
      </c>
      <c r="D38" s="108">
        <f>муниц!D27+муниц!D28+'Лен '!D25+Высокор!D27+Гост!D27+Новотр!D27+Черн!D27</f>
        <v>185.37599999999998</v>
      </c>
      <c r="E38" s="112">
        <f t="shared" si="11"/>
        <v>3003.4759999999997</v>
      </c>
      <c r="F38" s="108">
        <f>муниц!F27+муниц!F28+'Лен '!F25+Высокор!F27+Гост!F27+Новотр!F27+Черн!F27</f>
        <v>1504.8</v>
      </c>
      <c r="G38" s="108">
        <f>муниц!G27+муниц!G28+'Лен '!G25+Высокор!G27+Гост!G27+Новотр!G27+Черн!G27</f>
        <v>1745.2</v>
      </c>
      <c r="H38" s="110">
        <f t="shared" si="12"/>
        <v>2054.1</v>
      </c>
      <c r="I38" s="111">
        <f t="shared" si="2"/>
        <v>0.6839075790850335</v>
      </c>
      <c r="J38" s="111">
        <f t="shared" si="3"/>
        <v>1.3650318979266347</v>
      </c>
      <c r="K38" s="108">
        <f>муниц!K27+муниц!K28+'Лен '!K25+Высокор!K27+Гост!K27+Новотр!K27+Черн!K27</f>
        <v>2367.7</v>
      </c>
      <c r="L38" s="111">
        <f t="shared" si="4"/>
        <v>0.8675507876842505</v>
      </c>
      <c r="M38" s="108">
        <f>муниц!M27+муниц!M28+'Лен '!M25+Высокор!M27+Гост!M27+Новотр!M27+Черн!M27</f>
        <v>308.9</v>
      </c>
      <c r="N38" s="108">
        <f>муниц!N27+муниц!N28+'Лен '!N25+Высокор!N27+Гост!N27+Новотр!N27+Черн!N27</f>
        <v>87</v>
      </c>
      <c r="O38" s="111">
        <f t="shared" si="5"/>
        <v>3.550574712643678</v>
      </c>
      <c r="P38" s="108">
        <f>муниц!P27+муниц!P28+'Лен '!P25+Высокор!P27+Гост!P27+Новотр!P27+Черн!P27</f>
        <v>405.5</v>
      </c>
      <c r="Q38" s="108">
        <f>муниц!Q27+муниц!Q28+'Лен '!Q25+Высокор!Q27+Гост!Q27+Новотр!Q27+Черн!Q27</f>
        <v>115.7</v>
      </c>
      <c r="R38" s="108">
        <f>муниц!R27+муниц!R28+'Лен '!R25+Высокор!R27+Гост!R27+Новотр!R27+Черн!R27</f>
        <v>115.7</v>
      </c>
    </row>
    <row r="39" spans="1:18" ht="18">
      <c r="A39" s="13" t="s">
        <v>20</v>
      </c>
      <c r="B39" s="13">
        <v>1110503510</v>
      </c>
      <c r="C39" s="108">
        <f>муниц!C29</f>
        <v>483.2</v>
      </c>
      <c r="D39" s="108">
        <f>муниц!D29</f>
        <v>0</v>
      </c>
      <c r="E39" s="112">
        <f t="shared" si="11"/>
        <v>483.2</v>
      </c>
      <c r="F39" s="108">
        <f>муниц!F29</f>
        <v>483.2</v>
      </c>
      <c r="G39" s="108">
        <f>муниц!G29</f>
        <v>675.7</v>
      </c>
      <c r="H39" s="110">
        <f t="shared" si="12"/>
        <v>794.5</v>
      </c>
      <c r="I39" s="111">
        <f t="shared" si="2"/>
        <v>1.644246688741722</v>
      </c>
      <c r="J39" s="111">
        <f t="shared" si="3"/>
        <v>1.644246688741722</v>
      </c>
      <c r="K39" s="108">
        <f>муниц!K29</f>
        <v>532.1</v>
      </c>
      <c r="L39" s="111">
        <f t="shared" si="4"/>
        <v>1.4931403871452733</v>
      </c>
      <c r="M39" s="108">
        <f>муниц!M29</f>
        <v>118.8</v>
      </c>
      <c r="N39" s="108">
        <f>муниц!N29</f>
        <v>35.6</v>
      </c>
      <c r="O39" s="111">
        <f t="shared" si="5"/>
        <v>3.337078651685393</v>
      </c>
      <c r="P39" s="108">
        <f>муниц!P29</f>
        <v>214.2</v>
      </c>
      <c r="Q39" s="108">
        <f>муниц!Q29</f>
        <v>515.4</v>
      </c>
      <c r="R39" s="108">
        <f>муниц!R29</f>
        <v>548.3</v>
      </c>
    </row>
    <row r="40" spans="1:18" ht="18">
      <c r="A40" s="13" t="s">
        <v>21</v>
      </c>
      <c r="B40" s="13">
        <v>1110903510</v>
      </c>
      <c r="C40" s="108">
        <f>'Лен '!C27+Гост!C28</f>
        <v>9</v>
      </c>
      <c r="D40" s="108">
        <f>'Лен '!D27+Гост!D28</f>
        <v>-8.18</v>
      </c>
      <c r="E40" s="112">
        <f t="shared" si="11"/>
        <v>0.8200000000000003</v>
      </c>
      <c r="F40" s="108">
        <f>'Лен '!F27+Гост!F28</f>
        <v>0</v>
      </c>
      <c r="G40" s="108">
        <f>'Лен '!G27+Гост!G28</f>
        <v>1.9000000000000001</v>
      </c>
      <c r="H40" s="110">
        <f t="shared" si="12"/>
        <v>1.9000000000000001</v>
      </c>
      <c r="I40" s="111">
        <f t="shared" si="2"/>
        <v>2.3170731707317067</v>
      </c>
      <c r="J40" s="111">
        <f t="shared" si="3"/>
        <v>0</v>
      </c>
      <c r="K40" s="108">
        <f>'Лен '!K27</f>
        <v>13.2</v>
      </c>
      <c r="L40" s="111">
        <f t="shared" si="4"/>
        <v>0.14393939393939395</v>
      </c>
      <c r="M40" s="108">
        <f>'Лен '!M27+Гост!M28</f>
        <v>0</v>
      </c>
      <c r="N40" s="108">
        <f>'Лен '!N27</f>
        <v>0</v>
      </c>
      <c r="O40" s="111">
        <f t="shared" si="5"/>
        <v>0</v>
      </c>
      <c r="P40" s="119"/>
      <c r="Q40" s="119"/>
      <c r="R40" s="119"/>
    </row>
    <row r="41" spans="1:18" ht="18">
      <c r="A41" s="13" t="s">
        <v>28</v>
      </c>
      <c r="B41" s="13">
        <v>1110904505</v>
      </c>
      <c r="C41" s="108">
        <f>муниц!C30+'Лен '!C26+Высокор!C28+Гост!C29+Новотр!C28+Черн!C28</f>
        <v>654.225</v>
      </c>
      <c r="D41" s="108">
        <f>муниц!D30+'Лен '!D26+Высокор!D28+Гост!D29+Новотр!D28+Черн!D28</f>
        <v>0</v>
      </c>
      <c r="E41" s="112">
        <f t="shared" si="11"/>
        <v>654.225</v>
      </c>
      <c r="F41" s="108">
        <f>муниц!F30+'Лен '!F26+Высокор!F28+Гост!F29+Новотр!F28+Черн!F28</f>
        <v>367.9</v>
      </c>
      <c r="G41" s="108">
        <f>муниц!G30+'Лен '!G26+Высокор!G28+Гост!G29+Новотр!G28+Черн!G28</f>
        <v>379.59999999999997</v>
      </c>
      <c r="H41" s="110">
        <f t="shared" si="12"/>
        <v>435.49999999999994</v>
      </c>
      <c r="I41" s="111">
        <f t="shared" si="2"/>
        <v>0.665673124689518</v>
      </c>
      <c r="J41" s="111">
        <f t="shared" si="3"/>
        <v>1.1837455830388692</v>
      </c>
      <c r="K41" s="108">
        <f>муниц!K30+'Лен '!K26+Высокор!K28+Гост!K29+Новотр!K28+Черн!K28</f>
        <v>517.5</v>
      </c>
      <c r="L41" s="111">
        <f t="shared" si="4"/>
        <v>0.8415458937198067</v>
      </c>
      <c r="M41" s="108">
        <f>муниц!M30+'Лен '!M26+Высокор!M28+Гост!M29+Новотр!M28+Черн!M28</f>
        <v>55.9</v>
      </c>
      <c r="N41" s="108">
        <f>муниц!N30+'Лен '!N26+Высокор!N28+Гост!N29+Новотр!N28+Черн!N28</f>
        <v>47.400000000000006</v>
      </c>
      <c r="O41" s="111">
        <f t="shared" si="5"/>
        <v>1.1793248945147679</v>
      </c>
      <c r="P41" s="119"/>
      <c r="Q41" s="119"/>
      <c r="R41" s="119"/>
    </row>
    <row r="42" spans="1:18" ht="18">
      <c r="A42" s="9" t="s">
        <v>97</v>
      </c>
      <c r="B42" s="18">
        <v>1120000000</v>
      </c>
      <c r="C42" s="113">
        <f>муниц!C31</f>
        <v>177.4</v>
      </c>
      <c r="D42" s="113">
        <f>муниц!D31</f>
        <v>0</v>
      </c>
      <c r="E42" s="115">
        <f t="shared" si="11"/>
        <v>177.4</v>
      </c>
      <c r="F42" s="113">
        <f>муниц!F31</f>
        <v>130</v>
      </c>
      <c r="G42" s="113">
        <f>муниц!G31</f>
        <v>122.2</v>
      </c>
      <c r="H42" s="106">
        <f t="shared" si="12"/>
        <v>132.4</v>
      </c>
      <c r="I42" s="107">
        <f t="shared" si="2"/>
        <v>0.7463359639233371</v>
      </c>
      <c r="J42" s="107">
        <f t="shared" si="3"/>
        <v>1.0184615384615385</v>
      </c>
      <c r="K42" s="113">
        <f>муниц!K31</f>
        <v>158.6</v>
      </c>
      <c r="L42" s="107">
        <f t="shared" si="4"/>
        <v>0.8348045397225726</v>
      </c>
      <c r="M42" s="113">
        <f>муниц!M31</f>
        <v>10.2</v>
      </c>
      <c r="N42" s="113">
        <f>муниц!N31</f>
        <v>9.9</v>
      </c>
      <c r="O42" s="107">
        <f t="shared" si="5"/>
        <v>1.0303030303030303</v>
      </c>
      <c r="P42" s="106"/>
      <c r="Q42" s="116"/>
      <c r="R42" s="116"/>
    </row>
    <row r="43" spans="1:18" ht="18">
      <c r="A43" s="9" t="s">
        <v>80</v>
      </c>
      <c r="B43" s="18">
        <v>1130000000</v>
      </c>
      <c r="C43" s="113">
        <f aca="true" t="shared" si="13" ref="C43:H43">SUM(C44:C46)</f>
        <v>7900.7</v>
      </c>
      <c r="D43" s="113">
        <f t="shared" si="13"/>
        <v>923</v>
      </c>
      <c r="E43" s="113">
        <f t="shared" si="13"/>
        <v>8823.7</v>
      </c>
      <c r="F43" s="113">
        <f t="shared" si="13"/>
        <v>6262.200000000001</v>
      </c>
      <c r="G43" s="113">
        <f t="shared" si="13"/>
        <v>5606.2</v>
      </c>
      <c r="H43" s="113">
        <f t="shared" si="13"/>
        <v>6664.099999999999</v>
      </c>
      <c r="I43" s="107">
        <f t="shared" si="2"/>
        <v>0.7552500651654067</v>
      </c>
      <c r="J43" s="107">
        <f t="shared" si="3"/>
        <v>1.0641787231324453</v>
      </c>
      <c r="K43" s="113">
        <f>SUM(K44:K46)</f>
        <v>5611.900000000001</v>
      </c>
      <c r="L43" s="107">
        <f t="shared" si="4"/>
        <v>1.1874944314759706</v>
      </c>
      <c r="M43" s="113">
        <f>SUM(M44:M46)</f>
        <v>1057.9</v>
      </c>
      <c r="N43" s="113">
        <f>SUM(N44:N46)</f>
        <v>948.4000000000001</v>
      </c>
      <c r="O43" s="107">
        <f t="shared" si="5"/>
        <v>1.1154576128215943</v>
      </c>
      <c r="P43" s="113">
        <f>SUM(P44:P46)</f>
        <v>0</v>
      </c>
      <c r="Q43" s="113">
        <f>SUM(Q44:Q46)</f>
        <v>0</v>
      </c>
      <c r="R43" s="113">
        <f>SUM(R44:R46)</f>
        <v>0</v>
      </c>
    </row>
    <row r="44" spans="1:18" ht="18">
      <c r="A44" s="15" t="s">
        <v>42</v>
      </c>
      <c r="B44" s="22">
        <v>1130199500</v>
      </c>
      <c r="C44" s="120">
        <f>муниц!C33</f>
        <v>6866</v>
      </c>
      <c r="D44" s="120">
        <f>муниц!D33</f>
        <v>726</v>
      </c>
      <c r="E44" s="112">
        <f t="shared" si="11"/>
        <v>7592</v>
      </c>
      <c r="F44" s="120">
        <f>муниц!F33</f>
        <v>5479.6</v>
      </c>
      <c r="G44" s="120">
        <f>муниц!G33</f>
        <v>4674.5</v>
      </c>
      <c r="H44" s="110">
        <f>G44+M44</f>
        <v>5551.9</v>
      </c>
      <c r="I44" s="111">
        <f>IF(E44&gt;0,H44/E44,0)</f>
        <v>0.7312829293993677</v>
      </c>
      <c r="J44" s="111">
        <f>IF(F44&gt;0,H44/F44,0)</f>
        <v>1.0131943937513685</v>
      </c>
      <c r="K44" s="120">
        <f>муниц!K33</f>
        <v>4595.3</v>
      </c>
      <c r="L44" s="111">
        <f t="shared" si="4"/>
        <v>1.2081692163732507</v>
      </c>
      <c r="M44" s="120">
        <f>муниц!M33</f>
        <v>877.4</v>
      </c>
      <c r="N44" s="120">
        <f>муниц!N33</f>
        <v>785.1</v>
      </c>
      <c r="O44" s="111">
        <f t="shared" si="5"/>
        <v>1.1175646414469493</v>
      </c>
      <c r="P44" s="121"/>
      <c r="Q44" s="122"/>
      <c r="R44" s="122"/>
    </row>
    <row r="45" spans="1:18" ht="18">
      <c r="A45" s="15" t="s">
        <v>43</v>
      </c>
      <c r="B45" s="22">
        <v>1130206500</v>
      </c>
      <c r="C45" s="120">
        <f>муниц!C34</f>
        <v>565</v>
      </c>
      <c r="D45" s="120">
        <f>муниц!D34</f>
        <v>0</v>
      </c>
      <c r="E45" s="112">
        <f t="shared" si="11"/>
        <v>565</v>
      </c>
      <c r="F45" s="120">
        <f>муниц!F34</f>
        <v>450</v>
      </c>
      <c r="G45" s="120">
        <f>муниц!G34</f>
        <v>412.2</v>
      </c>
      <c r="H45" s="110">
        <f>G45+M45</f>
        <v>472.9</v>
      </c>
      <c r="I45" s="111">
        <f>IF(E45&gt;0,H45/E45,0)</f>
        <v>0.8369911504424778</v>
      </c>
      <c r="J45" s="111">
        <f>IF(F45&gt;0,H45/F45,0)</f>
        <v>1.0508888888888888</v>
      </c>
      <c r="K45" s="120">
        <f>муниц!K34</f>
        <v>373.3</v>
      </c>
      <c r="L45" s="111">
        <f t="shared" si="4"/>
        <v>1.2668095365657648</v>
      </c>
      <c r="M45" s="120">
        <f>муниц!M34</f>
        <v>60.7</v>
      </c>
      <c r="N45" s="120">
        <f>муниц!N34</f>
        <v>19.2</v>
      </c>
      <c r="O45" s="111">
        <f t="shared" si="5"/>
        <v>3.1614583333333335</v>
      </c>
      <c r="P45" s="121"/>
      <c r="Q45" s="122"/>
      <c r="R45" s="122"/>
    </row>
    <row r="46" spans="1:18" ht="18">
      <c r="A46" s="15" t="s">
        <v>46</v>
      </c>
      <c r="B46" s="22">
        <v>1130299510</v>
      </c>
      <c r="C46" s="120">
        <f>муниц!C35+'Лен '!C28+Высокор!C29+Гост!C30+Новотр!C29+Черн!C29</f>
        <v>469.70000000000005</v>
      </c>
      <c r="D46" s="120">
        <f>муниц!D35+'Лен '!D28+Высокор!D29+Гост!D30+Новотр!D29+Черн!D29</f>
        <v>197</v>
      </c>
      <c r="E46" s="112">
        <f t="shared" si="11"/>
        <v>666.7</v>
      </c>
      <c r="F46" s="120">
        <f>муниц!F35+'Лен '!F28+Высокор!F29+Гост!F30+Новотр!F29+Черн!F29</f>
        <v>332.6</v>
      </c>
      <c r="G46" s="120">
        <f>муниц!G35+'Лен '!G28+Высокор!G29+Гост!G30+Новотр!G29+Черн!G29</f>
        <v>519.5</v>
      </c>
      <c r="H46" s="110">
        <f>G46+M46</f>
        <v>639.3</v>
      </c>
      <c r="I46" s="111">
        <f>IF(E46&gt;0,H46/E46,0)</f>
        <v>0.958902054897255</v>
      </c>
      <c r="J46" s="111">
        <f>IF(F46&gt;0,H46/F46,0)</f>
        <v>1.922128683102826</v>
      </c>
      <c r="K46" s="120">
        <f>муниц!K35+'Лен '!K28+Высокор!K29+Гост!K30+Новотр!K29+Черн!K29</f>
        <v>643.3000000000001</v>
      </c>
      <c r="L46" s="111">
        <f t="shared" si="4"/>
        <v>0.9937820612466965</v>
      </c>
      <c r="M46" s="120">
        <f>муниц!M35+'Лен '!M28+Высокор!M29+Гост!M30+Новотр!M29+Черн!M29</f>
        <v>119.80000000000001</v>
      </c>
      <c r="N46" s="120">
        <f>муниц!N35+'Лен '!N28+Высокор!N29+Гост!N30+Новотр!N29+Черн!N29</f>
        <v>144.1</v>
      </c>
      <c r="O46" s="111">
        <f t="shared" si="5"/>
        <v>0.8313671061762666</v>
      </c>
      <c r="P46" s="121"/>
      <c r="Q46" s="122"/>
      <c r="R46" s="122"/>
    </row>
    <row r="47" spans="1:18" ht="18">
      <c r="A47" s="9" t="s">
        <v>102</v>
      </c>
      <c r="B47" s="18">
        <v>1140000000</v>
      </c>
      <c r="C47" s="113">
        <f aca="true" t="shared" si="14" ref="C47:H47">SUM(C48:C49)</f>
        <v>120</v>
      </c>
      <c r="D47" s="113">
        <f t="shared" si="14"/>
        <v>357.331</v>
      </c>
      <c r="E47" s="113">
        <f t="shared" si="14"/>
        <v>477.331</v>
      </c>
      <c r="F47" s="113">
        <f t="shared" si="14"/>
        <v>546.1</v>
      </c>
      <c r="G47" s="113">
        <f t="shared" si="14"/>
        <v>242.5</v>
      </c>
      <c r="H47" s="113">
        <f t="shared" si="14"/>
        <v>382</v>
      </c>
      <c r="I47" s="107">
        <f t="shared" si="2"/>
        <v>0.8002832416080246</v>
      </c>
      <c r="J47" s="107">
        <f t="shared" si="3"/>
        <v>0.6995055850576817</v>
      </c>
      <c r="K47" s="113">
        <f>SUM(K48:K49)</f>
        <v>1387.7</v>
      </c>
      <c r="L47" s="107">
        <f t="shared" si="4"/>
        <v>0.2752756359443684</v>
      </c>
      <c r="M47" s="113">
        <f>SUM(M48:M49)</f>
        <v>139.5</v>
      </c>
      <c r="N47" s="113">
        <f>SUM(N48:N49)</f>
        <v>150.5</v>
      </c>
      <c r="O47" s="107">
        <f t="shared" si="5"/>
        <v>0.9269102990033222</v>
      </c>
      <c r="P47" s="116"/>
      <c r="Q47" s="116"/>
      <c r="R47" s="116"/>
    </row>
    <row r="48" spans="1:18" ht="18">
      <c r="A48" s="13" t="s">
        <v>36</v>
      </c>
      <c r="B48" s="13">
        <v>1140205200</v>
      </c>
      <c r="C48" s="120">
        <f>муниц!C37+'Лен '!C29+Высокор!C30+Гост!C31+Новотр!C31+Черн!C30</f>
        <v>120</v>
      </c>
      <c r="D48" s="120">
        <f>муниц!D37+'Лен '!D29+Высокор!D30+Гост!D31+Новотр!D31+Черн!D30</f>
        <v>337.331</v>
      </c>
      <c r="E48" s="112">
        <f t="shared" si="11"/>
        <v>457.331</v>
      </c>
      <c r="F48" s="120">
        <f>муниц!F37+'Лен '!F29+Высокор!F30+Гост!F31+Новотр!F31+Черн!F30</f>
        <v>526.1</v>
      </c>
      <c r="G48" s="120">
        <f>муниц!G37+'Лен '!G29+Высокор!G30+Гост!G31+Новотр!G31+Черн!G30</f>
        <v>171.8</v>
      </c>
      <c r="H48" s="110">
        <f>G48+M48</f>
        <v>311.3</v>
      </c>
      <c r="I48" s="111">
        <f t="shared" si="2"/>
        <v>0.6806886040963765</v>
      </c>
      <c r="J48" s="111">
        <f t="shared" si="3"/>
        <v>0.5917126021668884</v>
      </c>
      <c r="K48" s="120">
        <f>муниц!K37+'Лен '!K29+Высокор!K30+Гост!K31+Новотр!K31+Черн!K30</f>
        <v>634.2</v>
      </c>
      <c r="L48" s="111">
        <f t="shared" si="4"/>
        <v>0.49085461999369284</v>
      </c>
      <c r="M48" s="120">
        <f>муниц!M37+'Лен '!M29+Высокор!M30+Гост!M31+Новотр!M31+Черн!M30</f>
        <v>139.5</v>
      </c>
      <c r="N48" s="120">
        <f>муниц!N37+'Лен '!N29+Высокор!N30+Гост!N31+Новотр!N31+Черн!N30</f>
        <v>66.2</v>
      </c>
      <c r="O48" s="111">
        <f t="shared" si="5"/>
        <v>2.107250755287009</v>
      </c>
      <c r="P48" s="122"/>
      <c r="Q48" s="122"/>
      <c r="R48" s="122"/>
    </row>
    <row r="49" spans="1:18" ht="18">
      <c r="A49" s="13" t="s">
        <v>37</v>
      </c>
      <c r="B49" s="13">
        <v>1140601310</v>
      </c>
      <c r="C49" s="120">
        <f>муниц!C38+'Лен '!C30+Высокор!C31+Гост!C32+Новотр!C30+Черн!C31</f>
        <v>0</v>
      </c>
      <c r="D49" s="120">
        <f>муниц!D38+'Лен '!D30+Высокор!D31+Гост!D32+Новотр!D30+Черн!D31</f>
        <v>20</v>
      </c>
      <c r="E49" s="112">
        <f t="shared" si="11"/>
        <v>20</v>
      </c>
      <c r="F49" s="120">
        <f>муниц!F38+'Лен '!F30+Высокор!F31+Гост!F32+Новотр!F30+Черн!F31</f>
        <v>20</v>
      </c>
      <c r="G49" s="120">
        <f>муниц!G38+'Лен '!G30+Высокор!G31+Гост!G32+Новотр!G30+Черн!G31</f>
        <v>70.7</v>
      </c>
      <c r="H49" s="110">
        <f>G49+M49</f>
        <v>70.7</v>
      </c>
      <c r="I49" s="111">
        <f t="shared" si="2"/>
        <v>3.535</v>
      </c>
      <c r="J49" s="111">
        <f t="shared" si="3"/>
        <v>3.535</v>
      </c>
      <c r="K49" s="120">
        <f>муниц!K38+'Лен '!K30+Высокор!K31+Гост!K32+Новотр!K30+Черн!K31</f>
        <v>753.5</v>
      </c>
      <c r="L49" s="111">
        <f t="shared" si="4"/>
        <v>0.093828798938288</v>
      </c>
      <c r="M49" s="120">
        <f>муниц!M38+'Лен '!M30+Высокор!M31+Гост!M32+Новотр!M30+Черн!M31</f>
        <v>0</v>
      </c>
      <c r="N49" s="120">
        <f>муниц!N38+'Лен '!N30+Высокор!N31+Гост!N32+Новотр!N30+Черн!N31</f>
        <v>84.30000000000001</v>
      </c>
      <c r="O49" s="111">
        <f t="shared" si="5"/>
        <v>0</v>
      </c>
      <c r="P49" s="122"/>
      <c r="Q49" s="122"/>
      <c r="R49" s="122"/>
    </row>
    <row r="50" spans="1:18" ht="18">
      <c r="A50" s="9" t="s">
        <v>103</v>
      </c>
      <c r="B50" s="18">
        <v>1160000000</v>
      </c>
      <c r="C50" s="113">
        <f>муниц!C39+'Лен '!C31+Высокор!C32+Гост!C33+Новотр!C32+Черн!C32</f>
        <v>224</v>
      </c>
      <c r="D50" s="113">
        <f>муниц!D39+'Лен '!D31+Высокор!D32+Гост!D33+Новотр!D32+Черн!D32</f>
        <v>200</v>
      </c>
      <c r="E50" s="115">
        <f t="shared" si="11"/>
        <v>424</v>
      </c>
      <c r="F50" s="113">
        <f>муниц!F39+'Лен '!F31+Высокор!F32+Гост!F33+Новотр!F32+Черн!F32</f>
        <v>205</v>
      </c>
      <c r="G50" s="113">
        <f>муниц!G39+'Лен '!G31+Высокор!G32+Гост!G33+Новотр!G32+Черн!G32</f>
        <v>583.1</v>
      </c>
      <c r="H50" s="106">
        <f>G50+M50</f>
        <v>612.7</v>
      </c>
      <c r="I50" s="107">
        <f t="shared" si="2"/>
        <v>1.4450471698113208</v>
      </c>
      <c r="J50" s="107">
        <f t="shared" si="3"/>
        <v>2.9887804878048785</v>
      </c>
      <c r="K50" s="113">
        <f>муниц!K39+'Лен '!K31+Высокор!K32+Гост!K33+Новотр!K32+Черн!K32</f>
        <v>439.1</v>
      </c>
      <c r="L50" s="107">
        <f t="shared" si="4"/>
        <v>1.3953541334547939</v>
      </c>
      <c r="M50" s="113">
        <f>муниц!M39+'Лен '!M31+Высокор!M32+Гост!M33+Новотр!M32+Черн!M32</f>
        <v>29.6</v>
      </c>
      <c r="N50" s="113">
        <f>муниц!N39+'Лен '!N31+Высокор!N32+Гост!N33+Новотр!N32+Черн!N32</f>
        <v>44.5</v>
      </c>
      <c r="O50" s="107">
        <f t="shared" si="5"/>
        <v>0.6651685393258427</v>
      </c>
      <c r="P50" s="116"/>
      <c r="Q50" s="116"/>
      <c r="R50" s="116"/>
    </row>
    <row r="51" spans="1:18" ht="18">
      <c r="A51" s="9" t="s">
        <v>104</v>
      </c>
      <c r="B51" s="18">
        <v>1170000000</v>
      </c>
      <c r="C51" s="113">
        <f aca="true" t="shared" si="15" ref="C51:H51">SUM(C52:C53)</f>
        <v>0</v>
      </c>
      <c r="D51" s="113">
        <f t="shared" si="15"/>
        <v>0</v>
      </c>
      <c r="E51" s="113">
        <f t="shared" si="15"/>
        <v>0</v>
      </c>
      <c r="F51" s="113">
        <f t="shared" si="15"/>
        <v>0</v>
      </c>
      <c r="G51" s="113">
        <f t="shared" si="15"/>
        <v>1.9</v>
      </c>
      <c r="H51" s="113">
        <f t="shared" si="15"/>
        <v>2.1</v>
      </c>
      <c r="I51" s="107">
        <f t="shared" si="2"/>
        <v>0</v>
      </c>
      <c r="J51" s="107">
        <f t="shared" si="3"/>
        <v>0</v>
      </c>
      <c r="K51" s="113">
        <f>SUM(K52:K53)</f>
        <v>45.300000000000004</v>
      </c>
      <c r="L51" s="107">
        <f t="shared" si="4"/>
        <v>0.046357615894039736</v>
      </c>
      <c r="M51" s="113">
        <f>SUM(M52:M53)</f>
        <v>0.2</v>
      </c>
      <c r="N51" s="113">
        <f>SUM(N52:N53)</f>
        <v>0.1</v>
      </c>
      <c r="O51" s="107">
        <f t="shared" si="5"/>
        <v>2</v>
      </c>
      <c r="P51" s="113">
        <f>SUM(P52:P53)</f>
        <v>0</v>
      </c>
      <c r="Q51" s="113">
        <f>SUM(Q52:Q53)</f>
        <v>0</v>
      </c>
      <c r="R51" s="113">
        <f>SUM(R52:R53)</f>
        <v>0</v>
      </c>
    </row>
    <row r="52" spans="1:18" ht="18">
      <c r="A52" s="13" t="s">
        <v>10</v>
      </c>
      <c r="B52" s="13">
        <v>1170105005</v>
      </c>
      <c r="C52" s="108"/>
      <c r="D52" s="108"/>
      <c r="E52" s="112">
        <f>C52+D52</f>
        <v>0</v>
      </c>
      <c r="F52" s="108"/>
      <c r="G52" s="108">
        <f>муниц!G41+'Лен '!G33+Высокор!G34+Гост!G35+Новотр!G34+Черн!G34</f>
        <v>0</v>
      </c>
      <c r="H52" s="110">
        <f>G52+M52</f>
        <v>0</v>
      </c>
      <c r="I52" s="111">
        <f t="shared" si="2"/>
        <v>0</v>
      </c>
      <c r="J52" s="111">
        <f t="shared" si="3"/>
        <v>0</v>
      </c>
      <c r="K52" s="108">
        <f>муниц!K41+'Лен '!K33+Высокор!K34+Гост!K35+Новотр!K34+Черн!K34</f>
        <v>43.7</v>
      </c>
      <c r="L52" s="111">
        <f t="shared" si="4"/>
        <v>0</v>
      </c>
      <c r="M52" s="108">
        <f>муниц!M41+'Лен '!M33+Высокор!M34+Гост!M35+Новотр!M34+Черн!M34</f>
        <v>0</v>
      </c>
      <c r="N52" s="108">
        <f>муниц!N41+'Лен '!N33+Высокор!N34+Гост!N35+Новотр!N34+Черн!N34</f>
        <v>0</v>
      </c>
      <c r="O52" s="111">
        <f t="shared" si="5"/>
        <v>0</v>
      </c>
      <c r="P52" s="111"/>
      <c r="Q52" s="119"/>
      <c r="R52" s="119"/>
    </row>
    <row r="53" spans="1:18" ht="18">
      <c r="A53" s="13" t="s">
        <v>17</v>
      </c>
      <c r="B53" s="13">
        <v>1170505005</v>
      </c>
      <c r="C53" s="108">
        <f>муниц!C42+'Лен '!C34+Высокор!C35+Гост!C36+Новотр!C35+Черн!C35</f>
        <v>0</v>
      </c>
      <c r="D53" s="108">
        <f>муниц!D42+'Лен '!D34+Высокор!D35+Гост!D36+Новотр!D35+Черн!D35</f>
        <v>0</v>
      </c>
      <c r="E53" s="112">
        <f>C53+D53</f>
        <v>0</v>
      </c>
      <c r="F53" s="108">
        <f>муниц!F42+'Лен '!F34+Высокор!F35+Гост!F36+Новотр!F35+Черн!F35</f>
        <v>0</v>
      </c>
      <c r="G53" s="108">
        <f>муниц!G42+'Лен '!G34+Высокор!G35+Гост!G36+Новотр!G35+Черн!G35</f>
        <v>1.9</v>
      </c>
      <c r="H53" s="110">
        <f>G53+M53</f>
        <v>2.1</v>
      </c>
      <c r="I53" s="111">
        <f t="shared" si="2"/>
        <v>0</v>
      </c>
      <c r="J53" s="111">
        <f t="shared" si="3"/>
        <v>0</v>
      </c>
      <c r="K53" s="108">
        <f>муниц!K42+'Лен '!K34+Высокор!K35+Гост!K36+Новотр!K35+Черн!K35</f>
        <v>1.6</v>
      </c>
      <c r="L53" s="111">
        <f t="shared" si="4"/>
        <v>1.3125</v>
      </c>
      <c r="M53" s="108">
        <f>муниц!M42+'Лен '!M34+Высокор!M35+Гост!M36+Новотр!M35+Черн!M35</f>
        <v>0.2</v>
      </c>
      <c r="N53" s="108">
        <f>муниц!N42+'Лен '!N34+Высокор!N35+Гост!N36+Новотр!N35+Черн!N35</f>
        <v>0.1</v>
      </c>
      <c r="O53" s="111">
        <f t="shared" si="5"/>
        <v>2</v>
      </c>
      <c r="P53" s="108"/>
      <c r="Q53" s="108"/>
      <c r="R53" s="108"/>
    </row>
    <row r="54" spans="1:18" ht="18">
      <c r="A54" s="16" t="s">
        <v>8</v>
      </c>
      <c r="B54" s="23">
        <v>1000000000</v>
      </c>
      <c r="C54" s="123">
        <f aca="true" t="shared" si="16" ref="C54:H54">C12+C35</f>
        <v>63106.325000000004</v>
      </c>
      <c r="D54" s="124">
        <f t="shared" si="16"/>
        <v>1843.027</v>
      </c>
      <c r="E54" s="125">
        <f t="shared" si="16"/>
        <v>64949.352000000006</v>
      </c>
      <c r="F54" s="125">
        <f t="shared" si="16"/>
        <v>40959.2</v>
      </c>
      <c r="G54" s="126">
        <f t="shared" si="16"/>
        <v>41373.399999999994</v>
      </c>
      <c r="H54" s="126">
        <f t="shared" si="16"/>
        <v>45689.70000000001</v>
      </c>
      <c r="I54" s="127">
        <f t="shared" si="2"/>
        <v>0.7034666027152974</v>
      </c>
      <c r="J54" s="127">
        <f t="shared" si="3"/>
        <v>1.1154929783784844</v>
      </c>
      <c r="K54" s="124">
        <f>K12+K35</f>
        <v>40194.8</v>
      </c>
      <c r="L54" s="127">
        <f t="shared" si="4"/>
        <v>1.136706738185039</v>
      </c>
      <c r="M54" s="126">
        <f>M12+M35</f>
        <v>4316.299999999999</v>
      </c>
      <c r="N54" s="126">
        <f>N12+N35</f>
        <v>3895.2000000000003</v>
      </c>
      <c r="O54" s="127">
        <f t="shared" si="5"/>
        <v>1.10810741425344</v>
      </c>
      <c r="P54" s="124">
        <f>P12+P35</f>
        <v>2299.4000000000005</v>
      </c>
      <c r="Q54" s="124">
        <f>Q12+Q35</f>
        <v>2175.4</v>
      </c>
      <c r="R54" s="124">
        <f>R12+R35</f>
        <v>2386.3</v>
      </c>
    </row>
    <row r="55" spans="1:18" ht="18">
      <c r="A55" s="13" t="s">
        <v>44</v>
      </c>
      <c r="B55" s="21">
        <v>2000000000</v>
      </c>
      <c r="C55" s="129">
        <f>муниц!C45</f>
        <v>164739.29</v>
      </c>
      <c r="D55" s="128">
        <f>муниц!D45</f>
        <v>-11226.217</v>
      </c>
      <c r="E55" s="112">
        <f>C55+D55</f>
        <v>153513.073</v>
      </c>
      <c r="F55" s="110">
        <f>муниц!F45</f>
        <v>116755.13</v>
      </c>
      <c r="G55" s="110">
        <f>муниц!G45</f>
        <v>99564.8</v>
      </c>
      <c r="H55" s="110">
        <f>G55+M55</f>
        <v>110125.2</v>
      </c>
      <c r="I55" s="111">
        <f t="shared" si="2"/>
        <v>0.717366917669611</v>
      </c>
      <c r="J55" s="111">
        <f t="shared" si="3"/>
        <v>0.9432150861379709</v>
      </c>
      <c r="K55" s="110">
        <f>муниц!K45</f>
        <v>110253.4</v>
      </c>
      <c r="L55" s="111">
        <f t="shared" si="4"/>
        <v>0.9988372240674664</v>
      </c>
      <c r="M55" s="110">
        <f>муниц!M45</f>
        <v>10560.4</v>
      </c>
      <c r="N55" s="110">
        <f>муниц!N45</f>
        <v>11081.9</v>
      </c>
      <c r="O55" s="111">
        <f t="shared" si="5"/>
        <v>0.9529412826320396</v>
      </c>
      <c r="P55" s="119"/>
      <c r="Q55" s="119"/>
      <c r="R55" s="119"/>
    </row>
    <row r="56" spans="1:18" ht="18">
      <c r="A56" s="13" t="s">
        <v>55</v>
      </c>
      <c r="B56" s="24" t="s">
        <v>47</v>
      </c>
      <c r="C56" s="108">
        <f>муниц!C46+'Лен '!C38+Высокор!C39+Гост!C40+Новотр!C39+Черн!C39</f>
        <v>30</v>
      </c>
      <c r="D56" s="108">
        <f>муниц!D46+'Лен '!D38+Высокор!D39+Гост!D40+Новотр!D39+Черн!D39</f>
        <v>1240.79</v>
      </c>
      <c r="E56" s="130">
        <f>C56+D56</f>
        <v>1270.79</v>
      </c>
      <c r="F56" s="108">
        <f>муниц!F46+'Лен '!F38+Высокор!F39+Гост!F40+Новотр!F39+Черн!F39</f>
        <v>20</v>
      </c>
      <c r="G56" s="108">
        <f>муниц!G46+'Лен '!G38+Высокор!G39+Гост!G40+Новотр!G39+Черн!G39</f>
        <v>1320.9</v>
      </c>
      <c r="H56" s="110">
        <f>G56+M56</f>
        <v>1336.3000000000002</v>
      </c>
      <c r="I56" s="111">
        <f>IF(E56&gt;0,H56/E56,0)</f>
        <v>1.051550610250317</v>
      </c>
      <c r="J56" s="111">
        <f>IF(F56&gt;0,H56/F56,0)</f>
        <v>66.81500000000001</v>
      </c>
      <c r="K56" s="108">
        <f>муниц!K46+'Лен '!K38+Высокор!K39+Гост!K40+Новотр!K39+Черн!K39</f>
        <v>701.4</v>
      </c>
      <c r="L56" s="111">
        <f t="shared" si="4"/>
        <v>1.9051896207584833</v>
      </c>
      <c r="M56" s="108">
        <f>муниц!M46+'Лен '!M38+Высокор!M39+Гост!M40+Новотр!M39+Черн!M39</f>
        <v>15.4</v>
      </c>
      <c r="N56" s="108">
        <f>муниц!N46+'Лен '!N38+Высокор!N39+Гост!N40+Новотр!N39+Черн!N39</f>
        <v>0</v>
      </c>
      <c r="O56" s="111">
        <f t="shared" si="5"/>
        <v>0</v>
      </c>
      <c r="P56" s="119"/>
      <c r="Q56" s="119"/>
      <c r="R56" s="119"/>
    </row>
    <row r="57" spans="1:18" ht="18">
      <c r="A57" s="16" t="s">
        <v>2</v>
      </c>
      <c r="B57" s="25"/>
      <c r="C57" s="124">
        <f aca="true" t="shared" si="17" ref="C57:H57">C54+C55+C56</f>
        <v>227875.61500000002</v>
      </c>
      <c r="D57" s="124">
        <f t="shared" si="17"/>
        <v>-8142.400000000001</v>
      </c>
      <c r="E57" s="123">
        <f t="shared" si="17"/>
        <v>219733.21500000003</v>
      </c>
      <c r="F57" s="124">
        <f t="shared" si="17"/>
        <v>157734.33000000002</v>
      </c>
      <c r="G57" s="124">
        <f t="shared" si="17"/>
        <v>142259.1</v>
      </c>
      <c r="H57" s="124">
        <f t="shared" si="17"/>
        <v>157151.2</v>
      </c>
      <c r="I57" s="127">
        <f t="shared" si="2"/>
        <v>0.7151909191334591</v>
      </c>
      <c r="J57" s="127">
        <f t="shared" si="3"/>
        <v>0.9963030876030601</v>
      </c>
      <c r="K57" s="124">
        <f>K54+K55+K56</f>
        <v>151149.6</v>
      </c>
      <c r="L57" s="127">
        <f t="shared" si="4"/>
        <v>1.0397063571455036</v>
      </c>
      <c r="M57" s="124">
        <f>M54+M55+M56</f>
        <v>14892.099999999999</v>
      </c>
      <c r="N57" s="124">
        <f>N54+N55+N56</f>
        <v>14977.1</v>
      </c>
      <c r="O57" s="127">
        <f t="shared" si="5"/>
        <v>0.9943246689946651</v>
      </c>
      <c r="P57" s="124">
        <f>P54+P55</f>
        <v>2299.4000000000005</v>
      </c>
      <c r="Q57" s="124">
        <f>Q54+Q55</f>
        <v>2175.4</v>
      </c>
      <c r="R57" s="124">
        <f>R54+R55</f>
        <v>2386.3</v>
      </c>
    </row>
    <row r="58" spans="2:18" ht="15">
      <c r="B58" s="26"/>
      <c r="C58" s="26"/>
      <c r="D58" s="26"/>
      <c r="E58" s="26"/>
      <c r="F58" s="26"/>
      <c r="G58" s="26"/>
      <c r="H58" s="27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2:18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2:18" ht="1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2:18" ht="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2:18" ht="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</sheetData>
  <sheetProtection/>
  <mergeCells count="23">
    <mergeCell ref="K3:L3"/>
    <mergeCell ref="P3:R3"/>
    <mergeCell ref="K4:K11"/>
    <mergeCell ref="M3:M11"/>
    <mergeCell ref="N3:N11"/>
    <mergeCell ref="O3:O11"/>
    <mergeCell ref="P4:P11"/>
    <mergeCell ref="B3:B11"/>
    <mergeCell ref="H3:J3"/>
    <mergeCell ref="J4:J11"/>
    <mergeCell ref="I4:I11"/>
    <mergeCell ref="F3:F11"/>
    <mergeCell ref="H4:H11"/>
    <mergeCell ref="A1:R1"/>
    <mergeCell ref="A2:R2"/>
    <mergeCell ref="A3:A11"/>
    <mergeCell ref="C3:C11"/>
    <mergeCell ref="D3:D11"/>
    <mergeCell ref="E3:E11"/>
    <mergeCell ref="G3:G11"/>
    <mergeCell ref="L4:L11"/>
    <mergeCell ref="Q4:Q11"/>
    <mergeCell ref="R4:R11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2014-10-14T06:14:21Z</cp:lastPrinted>
  <dcterms:created xsi:type="dcterms:W3CDTF">2003-11-05T12:49:21Z</dcterms:created>
  <dcterms:modified xsi:type="dcterms:W3CDTF">2014-10-14T06:14:29Z</dcterms:modified>
  <cp:category/>
  <cp:version/>
  <cp:contentType/>
  <cp:contentStatus/>
</cp:coreProperties>
</file>