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'консолид'!$A$1:$R$50</definedName>
    <definedName name="_xlnm.Print_Area" localSheetId="0">'муниц'!$A$1:$S$49</definedName>
    <definedName name="_xlnm.Print_Area" localSheetId="5">'Черн'!$A$1:$R$39</definedName>
  </definedNames>
  <calcPr fullCalcOnLoad="1"/>
</workbook>
</file>

<file path=xl/sharedStrings.xml><?xml version="1.0" encoding="utf-8"?>
<sst xmlns="http://schemas.openxmlformats.org/spreadsheetml/2006/main" count="447" uniqueCount="131">
  <si>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</si>
  <si>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</si>
  <si>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</si>
  <si>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</si>
  <si>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</si>
  <si>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</si>
  <si>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</si>
  <si>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</si>
  <si>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</si>
  <si>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</si>
  <si>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</si>
  <si>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</si>
  <si>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</si>
  <si>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</si>
  <si>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</si>
  <si>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</si>
  <si>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</si>
  <si>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</si>
  <si>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</si>
  <si>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</si>
  <si>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</si>
  <si>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</si>
  <si>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</si>
  <si>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</si>
  <si>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</si>
  <si>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</si>
  <si>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</si>
  <si>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</si>
  <si>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</si>
  <si>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</si>
  <si>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</si>
  <si>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</si>
  <si>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</si>
  <si>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</si>
  <si>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</si>
  <si>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</si>
  <si>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</si>
  <si>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</si>
  <si>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</si>
  <si>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</si>
  <si>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</si>
  <si>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</si>
  <si>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</si>
  <si>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</si>
  <si>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</si>
  <si>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</si>
  <si>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</si>
  <si>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</si>
  <si>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</si>
  <si>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</si>
  <si>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</si>
  <si>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</si>
  <si>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</si>
  <si>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</si>
  <si>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</si>
  <si>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</si>
  <si>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</si>
  <si>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</si>
  <si>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</si>
  <si>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</si>
  <si>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</si>
  <si>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</si>
  <si>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</si>
  <si>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</si>
  <si>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</si>
  <si>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</si>
  <si>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</si>
  <si>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</si>
  <si>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</si>
  <si>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</si>
  <si>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</si>
  <si>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</si>
  <si>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</si>
  <si>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</si>
  <si>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</si>
  <si>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</si>
  <si>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</si>
  <si>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</si>
  <si>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</si>
  <si>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</si>
  <si>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</si>
  <si>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</si>
  <si>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</si>
  <si>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</si>
  <si>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</si>
  <si>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</si>
  <si>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</si>
  <si>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</si>
  <si>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</si>
  <si>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</si>
  <si>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</si>
  <si>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</si>
  <si>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</si>
  <si>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</si>
  <si>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</si>
  <si>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</si>
  <si>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</si>
  <si>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</si>
  <si>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</si>
  <si>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</si>
  <si>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</si>
  <si>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</si>
  <si>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</si>
  <si>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</si>
  <si>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</si>
  <si>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</si>
  <si>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</si>
  <si>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</si>
  <si>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</si>
  <si>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</si>
  <si>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</si>
  <si>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2018 год</t>
  </si>
  <si>
    <t>Первоначальный план на 2019 год</t>
  </si>
  <si>
    <t>Уточненный план на 2019 год</t>
  </si>
  <si>
    <t>2019 год</t>
  </si>
  <si>
    <t>на 01.01.2019года</t>
  </si>
  <si>
    <t>Доходы от сдачи в аренду им-ва в казне</t>
  </si>
  <si>
    <t>2186001013</t>
  </si>
  <si>
    <t xml:space="preserve">Фактическое исполнение за январь-февраль </t>
  </si>
  <si>
    <t>на 01.03.2019года</t>
  </si>
  <si>
    <t>Фактическое исполнение за январь-март</t>
  </si>
  <si>
    <t>Поступило за март  2019 года</t>
  </si>
  <si>
    <t>Поступило за март   2018 года</t>
  </si>
  <si>
    <t>на 01.04.2019года</t>
  </si>
  <si>
    <t>Сведения об исполнении бюджета муниципального района по состоянию на 01 апреля  2019 года</t>
  </si>
  <si>
    <t xml:space="preserve">об исполнении бюджета Ленинского городского поселения на 01 апреля  2019 г. </t>
  </si>
  <si>
    <t>об исполнении бюджета Высокораменского сельского поселения на 01 апреля   2019 г.</t>
  </si>
  <si>
    <t>об исполнении бюджета Гостовского сельского поселения на 01 апреля  2019г.</t>
  </si>
  <si>
    <t>об исполнении бюджета Новотроицкого сельского поселения на 01  апреля  2019 г.</t>
  </si>
  <si>
    <t>об исполнении бюджета Черновского сельского поселения на 01 апреля  2019 г.</t>
  </si>
  <si>
    <t xml:space="preserve">об исполнении бюджета муниципального  образования на 01  апреля  2019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</si>
</sst>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174" fontId="12" fillId="34" borderId="12" xfId="0" applyNumberFormat="1" applyFont="1" applyFill="1" applyBorder="1" applyAlignment="1">
      <alignment wrapText="1"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3" fillId="0" borderId="0" xfId="0" applyFont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2" fontId="5" fillId="0" borderId="17" xfId="55" applyNumberFormat="1" applyFont="1" applyFill="1" applyBorder="1" applyAlignment="1">
      <alignment/>
    </xf>
    <xf numFmtId="172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5" fillId="0" borderId="0" xfId="0" applyFont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SheetLayoutView="5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6" sqref="R6:R29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4" width="14.375" style="0" customWidth="1"/>
    <col min="5" max="5" width="14.1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4.625" style="0" customWidth="1"/>
  </cols>
  <sheetData>
    <row r="1" spans="1:13" ht="24.75" customHeight="1">
      <c r="A1" s="169" t="s">
        <v>124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8" ht="20.25" customHeight="1">
      <c r="A2" s="168" t="s">
        <v>28</v>
      </c>
      <c r="B2" s="168" t="s">
        <v>4</v>
      </c>
      <c r="C2" s="168" t="s">
        <v>112</v>
      </c>
      <c r="D2" s="168" t="s">
        <v>24</v>
      </c>
      <c r="E2" s="168" t="s">
        <v>113</v>
      </c>
      <c r="F2" s="168" t="s">
        <v>99</v>
      </c>
      <c r="G2" s="168" t="s">
        <v>118</v>
      </c>
      <c r="H2" s="168" t="s">
        <v>114</v>
      </c>
      <c r="I2" s="168"/>
      <c r="J2" s="168"/>
      <c r="K2" s="168" t="s">
        <v>111</v>
      </c>
      <c r="L2" s="168"/>
      <c r="M2" s="168" t="s">
        <v>121</v>
      </c>
      <c r="N2" s="168" t="s">
        <v>122</v>
      </c>
      <c r="O2" s="168" t="s">
        <v>30</v>
      </c>
      <c r="P2" s="168" t="s">
        <v>9</v>
      </c>
      <c r="Q2" s="168"/>
      <c r="R2" s="168"/>
    </row>
    <row r="3" spans="1:18" ht="97.5" customHeight="1">
      <c r="A3" s="168"/>
      <c r="B3" s="168"/>
      <c r="C3" s="168"/>
      <c r="D3" s="168"/>
      <c r="E3" s="168"/>
      <c r="F3" s="168"/>
      <c r="G3" s="168"/>
      <c r="H3" s="47" t="s">
        <v>120</v>
      </c>
      <c r="I3" s="47" t="s">
        <v>10</v>
      </c>
      <c r="J3" s="47" t="s">
        <v>29</v>
      </c>
      <c r="K3" s="47" t="s">
        <v>120</v>
      </c>
      <c r="L3" s="47" t="s">
        <v>30</v>
      </c>
      <c r="M3" s="168"/>
      <c r="N3" s="168"/>
      <c r="O3" s="168"/>
      <c r="P3" s="124" t="s">
        <v>115</v>
      </c>
      <c r="Q3" s="124" t="s">
        <v>119</v>
      </c>
      <c r="R3" s="124" t="s">
        <v>123</v>
      </c>
    </row>
    <row r="4" spans="1:18" ht="18.75">
      <c r="A4" s="35" t="s">
        <v>21</v>
      </c>
      <c r="B4" s="36"/>
      <c r="C4" s="56">
        <f aca="true" t="shared" si="0" ref="C4:H4">C5+C9+C14+C20+C21+C22</f>
        <v>57766.4</v>
      </c>
      <c r="D4" s="56">
        <f t="shared" si="0"/>
        <v>0</v>
      </c>
      <c r="E4" s="56">
        <f t="shared" si="0"/>
        <v>57766.4</v>
      </c>
      <c r="F4" s="56">
        <f t="shared" si="0"/>
        <v>28287.7</v>
      </c>
      <c r="G4" s="56">
        <f t="shared" si="0"/>
        <v>7051.499999999999</v>
      </c>
      <c r="H4" s="56">
        <f t="shared" si="0"/>
        <v>13821.900000000001</v>
      </c>
      <c r="I4" s="57">
        <f>IF(E4&gt;0,H4/E4,0)</f>
        <v>0.2392723105473078</v>
      </c>
      <c r="J4" s="57">
        <f>IF(F4&gt;0,H4/F4,0)</f>
        <v>0.48861872828119646</v>
      </c>
      <c r="K4" s="56">
        <f>K5+K9+K14+K20+K21+K22</f>
        <v>11276.199999999999</v>
      </c>
      <c r="L4" s="57">
        <f aca="true" t="shared" si="1" ref="L4:L48">IF(K4&gt;0,H4/K4,0)</f>
        <v>1.2257586775686848</v>
      </c>
      <c r="M4" s="56">
        <f>M5+M9+M14+M20+M21+M22</f>
        <v>6770.4</v>
      </c>
      <c r="N4" s="56">
        <f>N5+N9+N14+N20+N21+N22</f>
        <v>6029.6</v>
      </c>
      <c r="O4" s="57">
        <f aca="true" t="shared" si="2" ref="O4:O48">IF(N4&gt;0,M4/N4,0)</f>
        <v>1.1228605545973198</v>
      </c>
      <c r="P4" s="56">
        <f>P5+P9+P14+P20+P21+P22</f>
        <v>845.8</v>
      </c>
      <c r="Q4" s="56">
        <f>Q5+Q9+Q14+Q20+Q21+Q22</f>
        <v>2368.3</v>
      </c>
      <c r="R4" s="56">
        <f>R5+R9+R14+R20+R21+R22</f>
        <v>1326</v>
      </c>
    </row>
    <row r="5" spans="1:18" ht="18.75">
      <c r="A5" s="37" t="s">
        <v>63</v>
      </c>
      <c r="B5" s="38">
        <v>1010200001</v>
      </c>
      <c r="C5" s="58">
        <f aca="true" t="shared" si="3" ref="C5:H5">SUM(C6:C8)</f>
        <v>13296.6</v>
      </c>
      <c r="D5" s="58">
        <f t="shared" si="3"/>
        <v>0</v>
      </c>
      <c r="E5" s="58">
        <f t="shared" si="3"/>
        <v>13296.6</v>
      </c>
      <c r="F5" s="58">
        <f t="shared" si="3"/>
        <v>9897.800000000001</v>
      </c>
      <c r="G5" s="58">
        <f t="shared" si="3"/>
        <v>2187.4</v>
      </c>
      <c r="H5" s="58">
        <f t="shared" si="3"/>
        <v>3417.9</v>
      </c>
      <c r="I5" s="59">
        <f>IF(E5&gt;0,H5/E5,0)</f>
        <v>0.2570506746085465</v>
      </c>
      <c r="J5" s="59">
        <f>IF(F5&gt;0,H5/F5,0)</f>
        <v>0.34531916183394284</v>
      </c>
      <c r="K5" s="58">
        <f>SUM(K6:K8)</f>
        <v>3275.1</v>
      </c>
      <c r="L5" s="59">
        <f t="shared" si="1"/>
        <v>1.043601722084822</v>
      </c>
      <c r="M5" s="58">
        <f>SUM(M6:M8)</f>
        <v>1230.5000000000002</v>
      </c>
      <c r="N5" s="58">
        <f>SUM(N6:N8)</f>
        <v>1188.2</v>
      </c>
      <c r="O5" s="59">
        <f t="shared" si="2"/>
        <v>1.0356000673287327</v>
      </c>
      <c r="P5" s="58">
        <f>SUM(P6:P8)</f>
        <v>79.8</v>
      </c>
      <c r="Q5" s="58">
        <f>SUM(Q6:Q8)</f>
        <v>82.6</v>
      </c>
      <c r="R5" s="58">
        <f>SUM(R6:R8)</f>
        <v>77.1</v>
      </c>
    </row>
    <row r="6" spans="1:19" ht="18.75" customHeight="1">
      <c r="A6" s="40" t="s">
        <v>40</v>
      </c>
      <c r="B6" s="8">
        <v>1010201001</v>
      </c>
      <c r="C6" s="60">
        <v>13195.3</v>
      </c>
      <c r="D6" s="61"/>
      <c r="E6" s="61">
        <f>C6+D6</f>
        <v>13195.3</v>
      </c>
      <c r="F6" s="61">
        <f>2700+346+3300+3328.7+150</f>
        <v>9824.7</v>
      </c>
      <c r="G6" s="61">
        <v>2143.5</v>
      </c>
      <c r="H6" s="61">
        <f>G6+M6</f>
        <v>3376.2</v>
      </c>
      <c r="I6" s="62">
        <f aca="true" t="shared" si="4" ref="I6:I48">IF(E6&gt;0,H6/E6,0)</f>
        <v>0.255863830303214</v>
      </c>
      <c r="J6" s="62">
        <f aca="true" t="shared" si="5" ref="J6:J48">IF(F6&gt;0,H6/F6,0)</f>
        <v>0.34364408073528957</v>
      </c>
      <c r="K6" s="61">
        <v>3268.9</v>
      </c>
      <c r="L6" s="62">
        <f t="shared" si="1"/>
        <v>1.032824497537398</v>
      </c>
      <c r="M6" s="61">
        <v>1232.7</v>
      </c>
      <c r="N6" s="61">
        <v>1185.2</v>
      </c>
      <c r="O6" s="62">
        <f t="shared" si="2"/>
        <v>1.0400776240296996</v>
      </c>
      <c r="P6" s="61">
        <v>60.8</v>
      </c>
      <c r="Q6" s="61">
        <v>62.2</v>
      </c>
      <c r="R6" s="61">
        <v>56.7</v>
      </c>
      <c r="S6" s="26"/>
    </row>
    <row r="7" spans="1:19" ht="21" customHeight="1">
      <c r="A7" s="40" t="s">
        <v>41</v>
      </c>
      <c r="B7" s="8">
        <v>1010202001</v>
      </c>
      <c r="C7" s="60">
        <v>31.1</v>
      </c>
      <c r="D7" s="61"/>
      <c r="E7" s="61">
        <f aca="true" t="shared" si="6" ref="E7:E22">C7+D7</f>
        <v>31.1</v>
      </c>
      <c r="F7" s="61">
        <f>26.1</f>
        <v>26.1</v>
      </c>
      <c r="G7" s="61"/>
      <c r="H7" s="61">
        <f>G7+M7</f>
        <v>0.4</v>
      </c>
      <c r="I7" s="62">
        <f t="shared" si="4"/>
        <v>0.012861736334405145</v>
      </c>
      <c r="J7" s="62">
        <f t="shared" si="5"/>
        <v>0.01532567049808429</v>
      </c>
      <c r="K7" s="61">
        <v>0.7</v>
      </c>
      <c r="L7" s="62">
        <f t="shared" si="1"/>
        <v>0.5714285714285715</v>
      </c>
      <c r="M7" s="61">
        <v>0.4</v>
      </c>
      <c r="N7" s="61">
        <v>0.7</v>
      </c>
      <c r="O7" s="62">
        <f t="shared" si="2"/>
        <v>0.5714285714285715</v>
      </c>
      <c r="P7" s="61"/>
      <c r="Q7" s="61">
        <v>1.4</v>
      </c>
      <c r="R7" s="61">
        <v>1.4</v>
      </c>
      <c r="S7" s="26"/>
    </row>
    <row r="8" spans="1:19" ht="21" customHeight="1">
      <c r="A8" s="40" t="s">
        <v>42</v>
      </c>
      <c r="B8" s="8">
        <v>1010203001</v>
      </c>
      <c r="C8" s="60">
        <v>70.2</v>
      </c>
      <c r="D8" s="61"/>
      <c r="E8" s="61">
        <f t="shared" si="6"/>
        <v>70.2</v>
      </c>
      <c r="F8" s="61">
        <f>2+45</f>
        <v>47</v>
      </c>
      <c r="G8" s="61">
        <v>43.9</v>
      </c>
      <c r="H8" s="61">
        <f>G8+M8</f>
        <v>41.3</v>
      </c>
      <c r="I8" s="62">
        <f t="shared" si="4"/>
        <v>0.5883190883190883</v>
      </c>
      <c r="J8" s="62">
        <f t="shared" si="5"/>
        <v>0.8787234042553191</v>
      </c>
      <c r="K8" s="61">
        <v>5.5</v>
      </c>
      <c r="L8" s="62">
        <f t="shared" si="1"/>
        <v>7.509090909090909</v>
      </c>
      <c r="M8" s="61">
        <v>-2.6</v>
      </c>
      <c r="N8" s="61">
        <v>2.3</v>
      </c>
      <c r="O8" s="62">
        <f t="shared" si="2"/>
        <v>-1.1304347826086958</v>
      </c>
      <c r="P8" s="61">
        <v>19</v>
      </c>
      <c r="Q8" s="61">
        <v>19</v>
      </c>
      <c r="R8" s="61">
        <v>19</v>
      </c>
      <c r="S8" s="26"/>
    </row>
    <row r="9" spans="1:19" ht="18" customHeight="1">
      <c r="A9" s="37" t="s">
        <v>48</v>
      </c>
      <c r="B9" s="39">
        <v>1030200001</v>
      </c>
      <c r="C9" s="58">
        <f aca="true" t="shared" si="7" ref="C9:H9">SUM(C10:C13)</f>
        <v>6685.300000000001</v>
      </c>
      <c r="D9" s="58">
        <f t="shared" si="7"/>
        <v>0</v>
      </c>
      <c r="E9" s="58">
        <f t="shared" si="7"/>
        <v>6685.300000000001</v>
      </c>
      <c r="F9" s="58">
        <f>925+200+490+1350+1800</f>
        <v>4765</v>
      </c>
      <c r="G9" s="58">
        <f>SUM(G10:G13)</f>
        <v>1348.7</v>
      </c>
      <c r="H9" s="58">
        <f t="shared" si="7"/>
        <v>1943</v>
      </c>
      <c r="I9" s="59">
        <f t="shared" si="4"/>
        <v>0.2906376677187261</v>
      </c>
      <c r="J9" s="59">
        <f t="shared" si="5"/>
        <v>0.4077649527806925</v>
      </c>
      <c r="K9" s="58">
        <f>SUM(K10:K13)</f>
        <v>1540.3999999999999</v>
      </c>
      <c r="L9" s="59">
        <f t="shared" si="1"/>
        <v>1.2613606855362245</v>
      </c>
      <c r="M9" s="58">
        <f>SUM(M10:M13)</f>
        <v>594.3000000000001</v>
      </c>
      <c r="N9" s="58">
        <f>SUM(N10:N13)</f>
        <v>820.8</v>
      </c>
      <c r="O9" s="59">
        <f t="shared" si="2"/>
        <v>0.7240497076023393</v>
      </c>
      <c r="P9" s="58">
        <f>SUM(P10:P13)</f>
        <v>0</v>
      </c>
      <c r="Q9" s="58">
        <f>SUM(Q10:Q13)</f>
        <v>0</v>
      </c>
      <c r="R9" s="58">
        <f>SUM(R10:R13)</f>
        <v>0</v>
      </c>
      <c r="S9" s="26"/>
    </row>
    <row r="10" spans="1:19" ht="18.75">
      <c r="A10" s="41" t="s">
        <v>49</v>
      </c>
      <c r="B10" s="41">
        <v>1030223101</v>
      </c>
      <c r="C10" s="60">
        <v>2487.8</v>
      </c>
      <c r="D10" s="61"/>
      <c r="E10" s="61">
        <f t="shared" si="6"/>
        <v>2487.8</v>
      </c>
      <c r="F10" s="61"/>
      <c r="G10" s="61">
        <v>597.4</v>
      </c>
      <c r="H10" s="61">
        <f>G10+M10</f>
        <v>853.5</v>
      </c>
      <c r="I10" s="62">
        <f t="shared" si="4"/>
        <v>0.3430742021062786</v>
      </c>
      <c r="J10" s="62">
        <f t="shared" si="5"/>
        <v>0</v>
      </c>
      <c r="K10" s="61">
        <v>634.6</v>
      </c>
      <c r="L10" s="62">
        <f t="shared" si="1"/>
        <v>1.3449416955562559</v>
      </c>
      <c r="M10" s="61">
        <v>256.1</v>
      </c>
      <c r="N10" s="61">
        <v>333.1</v>
      </c>
      <c r="O10" s="62">
        <f t="shared" si="2"/>
        <v>0.7688381867307115</v>
      </c>
      <c r="P10" s="61"/>
      <c r="Q10" s="61"/>
      <c r="R10" s="61"/>
      <c r="S10" s="26"/>
    </row>
    <row r="11" spans="1:19" ht="18.75">
      <c r="A11" s="41" t="s">
        <v>50</v>
      </c>
      <c r="B11" s="41">
        <v>1030224101</v>
      </c>
      <c r="C11" s="60">
        <v>11.9</v>
      </c>
      <c r="D11" s="61"/>
      <c r="E11" s="61">
        <f t="shared" si="6"/>
        <v>11.9</v>
      </c>
      <c r="F11" s="61"/>
      <c r="G11" s="61">
        <v>4</v>
      </c>
      <c r="H11" s="61">
        <f>G11+M11</f>
        <v>6</v>
      </c>
      <c r="I11" s="62">
        <f t="shared" si="4"/>
        <v>0.5042016806722689</v>
      </c>
      <c r="J11" s="62">
        <f t="shared" si="5"/>
        <v>0</v>
      </c>
      <c r="K11" s="61">
        <v>4.3</v>
      </c>
      <c r="L11" s="62">
        <f t="shared" si="1"/>
        <v>1.3953488372093024</v>
      </c>
      <c r="M11" s="61">
        <v>2</v>
      </c>
      <c r="N11" s="61">
        <v>2.7</v>
      </c>
      <c r="O11" s="62">
        <f t="shared" si="2"/>
        <v>0.7407407407407407</v>
      </c>
      <c r="P11" s="61"/>
      <c r="Q11" s="61"/>
      <c r="R11" s="61"/>
      <c r="S11" s="26"/>
    </row>
    <row r="12" spans="1:19" ht="18.75" customHeight="1">
      <c r="A12" s="41" t="s">
        <v>51</v>
      </c>
      <c r="B12" s="41">
        <v>1030225101</v>
      </c>
      <c r="C12" s="60">
        <v>4524.1</v>
      </c>
      <c r="D12" s="61"/>
      <c r="E12" s="61">
        <f t="shared" si="6"/>
        <v>4524.1</v>
      </c>
      <c r="F12" s="61"/>
      <c r="G12" s="61">
        <v>877.4</v>
      </c>
      <c r="H12" s="61">
        <f>G12+M12</f>
        <v>1251.4</v>
      </c>
      <c r="I12" s="62">
        <f t="shared" si="4"/>
        <v>0.27660750204460555</v>
      </c>
      <c r="J12" s="62">
        <f t="shared" si="5"/>
        <v>0</v>
      </c>
      <c r="K12" s="61">
        <v>1033.8</v>
      </c>
      <c r="L12" s="62">
        <f t="shared" si="1"/>
        <v>1.2104855871541886</v>
      </c>
      <c r="M12" s="61">
        <v>374</v>
      </c>
      <c r="N12" s="61">
        <v>542</v>
      </c>
      <c r="O12" s="62">
        <f t="shared" si="2"/>
        <v>0.6900369003690037</v>
      </c>
      <c r="P12" s="61"/>
      <c r="Q12" s="61"/>
      <c r="R12" s="61"/>
      <c r="S12" s="26"/>
    </row>
    <row r="13" spans="1:19" ht="18.75" customHeight="1">
      <c r="A13" s="41" t="s">
        <v>52</v>
      </c>
      <c r="B13" s="41">
        <v>1030226101</v>
      </c>
      <c r="C13" s="60">
        <v>-338.5</v>
      </c>
      <c r="D13" s="61"/>
      <c r="E13" s="61">
        <f t="shared" si="6"/>
        <v>-338.5</v>
      </c>
      <c r="F13" s="61"/>
      <c r="G13" s="61">
        <v>-130.1</v>
      </c>
      <c r="H13" s="61">
        <f>G13+M13</f>
        <v>-167.89999999999998</v>
      </c>
      <c r="I13" s="62">
        <f>H13/E13</f>
        <v>0.4960118168389955</v>
      </c>
      <c r="J13" s="62">
        <f t="shared" si="5"/>
        <v>0</v>
      </c>
      <c r="K13" s="61">
        <v>-132.3</v>
      </c>
      <c r="L13" s="62">
        <f t="shared" si="1"/>
        <v>0</v>
      </c>
      <c r="M13" s="61">
        <v>-37.8</v>
      </c>
      <c r="N13" s="61">
        <v>-57</v>
      </c>
      <c r="O13" s="62">
        <f t="shared" si="2"/>
        <v>0</v>
      </c>
      <c r="P13" s="61"/>
      <c r="Q13" s="61"/>
      <c r="R13" s="61"/>
      <c r="S13" s="26"/>
    </row>
    <row r="14" spans="1:19" ht="18.75">
      <c r="A14" s="37" t="s">
        <v>55</v>
      </c>
      <c r="B14" s="38">
        <v>1050000000</v>
      </c>
      <c r="C14" s="58">
        <f aca="true" t="shared" si="8" ref="C14:H14">SUM(C15:C19)</f>
        <v>32802.5</v>
      </c>
      <c r="D14" s="58">
        <f t="shared" si="8"/>
        <v>0</v>
      </c>
      <c r="E14" s="58">
        <f t="shared" si="8"/>
        <v>32802.5</v>
      </c>
      <c r="F14" s="58">
        <f t="shared" si="8"/>
        <v>11352.9</v>
      </c>
      <c r="G14" s="58">
        <f>SUM(G15:G19)</f>
        <v>3429.2999999999997</v>
      </c>
      <c r="H14" s="58">
        <f t="shared" si="8"/>
        <v>7179.500000000002</v>
      </c>
      <c r="I14" s="59">
        <f t="shared" si="4"/>
        <v>0.21887051291822276</v>
      </c>
      <c r="J14" s="59">
        <f t="shared" si="5"/>
        <v>0.632393485364973</v>
      </c>
      <c r="K14" s="58">
        <f>SUM(K15:K19)</f>
        <v>5522.799999999999</v>
      </c>
      <c r="L14" s="59">
        <f t="shared" si="1"/>
        <v>1.299974650539582</v>
      </c>
      <c r="M14" s="58">
        <f>SUM(M15:M19)</f>
        <v>3750.2000000000003</v>
      </c>
      <c r="N14" s="58">
        <f>SUM(N15:N19)</f>
        <v>3156.8</v>
      </c>
      <c r="O14" s="59">
        <f t="shared" si="2"/>
        <v>1.1879751647237708</v>
      </c>
      <c r="P14" s="58">
        <f>SUM(P15:P19)</f>
        <v>592.3</v>
      </c>
      <c r="Q14" s="58">
        <f>SUM(Q15:Q19)</f>
        <v>2114.3</v>
      </c>
      <c r="R14" s="58">
        <f>SUM(R15:R19)</f>
        <v>1077.4</v>
      </c>
      <c r="S14" s="26"/>
    </row>
    <row r="15" spans="1:19" ht="18.75">
      <c r="A15" s="40" t="s">
        <v>53</v>
      </c>
      <c r="B15" s="8">
        <v>1050101001</v>
      </c>
      <c r="C15" s="60">
        <v>21681.2</v>
      </c>
      <c r="D15" s="61"/>
      <c r="E15" s="61">
        <f t="shared" si="6"/>
        <v>21681.2</v>
      </c>
      <c r="F15" s="61">
        <f>1100+1131+3100+350+1370</f>
        <v>7051</v>
      </c>
      <c r="G15" s="61">
        <v>2152.8</v>
      </c>
      <c r="H15" s="61">
        <f aca="true" t="shared" si="9" ref="H15:H22">G15+M15</f>
        <v>5052.200000000001</v>
      </c>
      <c r="I15" s="62">
        <f t="shared" si="4"/>
        <v>0.2330221574451599</v>
      </c>
      <c r="J15" s="62">
        <f t="shared" si="5"/>
        <v>0.7165224790809815</v>
      </c>
      <c r="K15" s="61">
        <v>4007.9</v>
      </c>
      <c r="L15" s="62">
        <f t="shared" si="1"/>
        <v>1.260560393223384</v>
      </c>
      <c r="M15" s="61">
        <v>2899.4</v>
      </c>
      <c r="N15" s="61">
        <v>2709.8</v>
      </c>
      <c r="O15" s="62">
        <f t="shared" si="2"/>
        <v>1.069968263340468</v>
      </c>
      <c r="P15" s="61">
        <v>547.4</v>
      </c>
      <c r="Q15" s="61">
        <v>408.1</v>
      </c>
      <c r="R15" s="61">
        <v>647.4</v>
      </c>
      <c r="S15" s="26"/>
    </row>
    <row r="16" spans="1:19" ht="18.75">
      <c r="A16" s="40" t="s">
        <v>54</v>
      </c>
      <c r="B16" s="8">
        <v>1050102001</v>
      </c>
      <c r="C16" s="60">
        <v>5561.3</v>
      </c>
      <c r="D16" s="61"/>
      <c r="E16" s="61">
        <f t="shared" si="6"/>
        <v>5561.3</v>
      </c>
      <c r="F16" s="61">
        <f>100+159+500+350+400</f>
        <v>1509</v>
      </c>
      <c r="G16" s="61">
        <v>3.2</v>
      </c>
      <c r="H16" s="61">
        <f t="shared" si="9"/>
        <v>696.6</v>
      </c>
      <c r="I16" s="62">
        <f t="shared" si="4"/>
        <v>0.12525848272885837</v>
      </c>
      <c r="J16" s="62">
        <f t="shared" si="5"/>
        <v>0.4616302186878728</v>
      </c>
      <c r="K16" s="61">
        <v>149.8</v>
      </c>
      <c r="L16" s="62">
        <f t="shared" si="1"/>
        <v>4.650200267022696</v>
      </c>
      <c r="M16" s="61">
        <v>693.4</v>
      </c>
      <c r="N16" s="61">
        <v>332.4</v>
      </c>
      <c r="O16" s="62">
        <f t="shared" si="2"/>
        <v>2.0860409145607703</v>
      </c>
      <c r="P16" s="61">
        <v>1.4</v>
      </c>
      <c r="Q16" s="61">
        <v>1646.8</v>
      </c>
      <c r="R16" s="61">
        <v>386.5</v>
      </c>
      <c r="S16" s="26"/>
    </row>
    <row r="17" spans="1:20" ht="18.75">
      <c r="A17" s="40" t="s">
        <v>0</v>
      </c>
      <c r="B17" s="8">
        <v>1050200002</v>
      </c>
      <c r="C17" s="60">
        <v>5200</v>
      </c>
      <c r="D17" s="61"/>
      <c r="E17" s="61">
        <f t="shared" si="6"/>
        <v>5200</v>
      </c>
      <c r="F17" s="61">
        <f>1000+126+65+1480-30</f>
        <v>2641</v>
      </c>
      <c r="G17" s="61">
        <v>1176.7</v>
      </c>
      <c r="H17" s="61">
        <f t="shared" si="9"/>
        <v>1198.3</v>
      </c>
      <c r="I17" s="62">
        <f t="shared" si="4"/>
        <v>0.2304423076923077</v>
      </c>
      <c r="J17" s="62">
        <f t="shared" si="5"/>
        <v>0.45372964786065884</v>
      </c>
      <c r="K17" s="61">
        <v>1171.5</v>
      </c>
      <c r="L17" s="62">
        <f t="shared" si="1"/>
        <v>1.0228766538625693</v>
      </c>
      <c r="M17" s="61">
        <v>21.6</v>
      </c>
      <c r="N17" s="61">
        <v>17.2</v>
      </c>
      <c r="O17" s="62">
        <f t="shared" si="2"/>
        <v>1.2558139534883723</v>
      </c>
      <c r="P17" s="61">
        <v>43.5</v>
      </c>
      <c r="Q17" s="61">
        <v>53.8</v>
      </c>
      <c r="R17" s="61">
        <v>43.5</v>
      </c>
      <c r="S17" s="26"/>
      <c r="T17" s="160"/>
    </row>
    <row r="18" spans="1:19" ht="18.75">
      <c r="A18" s="40" t="s">
        <v>7</v>
      </c>
      <c r="B18" s="8">
        <v>1050300001</v>
      </c>
      <c r="C18" s="60">
        <v>60</v>
      </c>
      <c r="D18" s="61"/>
      <c r="E18" s="61">
        <f t="shared" si="6"/>
        <v>60</v>
      </c>
      <c r="F18" s="61">
        <f>5.4+5.6+52</f>
        <v>63</v>
      </c>
      <c r="G18" s="61">
        <v>9.7</v>
      </c>
      <c r="H18" s="61">
        <f t="shared" si="9"/>
        <v>66.6</v>
      </c>
      <c r="I18" s="62">
        <f t="shared" si="4"/>
        <v>1.1099999999999999</v>
      </c>
      <c r="J18" s="62">
        <f t="shared" si="5"/>
        <v>1.0571428571428572</v>
      </c>
      <c r="K18" s="61">
        <v>29.4</v>
      </c>
      <c r="L18" s="62">
        <f t="shared" si="1"/>
        <v>2.2653061224489797</v>
      </c>
      <c r="M18" s="61">
        <v>56.9</v>
      </c>
      <c r="N18" s="61">
        <v>13.5</v>
      </c>
      <c r="O18" s="62">
        <f t="shared" si="2"/>
        <v>4.214814814814814</v>
      </c>
      <c r="P18" s="61"/>
      <c r="Q18" s="61"/>
      <c r="R18" s="61"/>
      <c r="S18" s="26"/>
    </row>
    <row r="19" spans="1:19" ht="18.75">
      <c r="A19" s="40" t="s">
        <v>96</v>
      </c>
      <c r="B19" s="8">
        <v>1050402002</v>
      </c>
      <c r="C19" s="60">
        <v>300</v>
      </c>
      <c r="D19" s="61"/>
      <c r="E19" s="61">
        <f t="shared" si="6"/>
        <v>300</v>
      </c>
      <c r="F19" s="61">
        <f>50+15+2.9+21</f>
        <v>88.9</v>
      </c>
      <c r="G19" s="61">
        <v>86.9</v>
      </c>
      <c r="H19" s="61">
        <f t="shared" si="9"/>
        <v>165.8</v>
      </c>
      <c r="I19" s="62">
        <f t="shared" si="4"/>
        <v>0.5526666666666668</v>
      </c>
      <c r="J19" s="62">
        <f t="shared" si="5"/>
        <v>1.8650168728908887</v>
      </c>
      <c r="K19" s="61">
        <v>164.2</v>
      </c>
      <c r="L19" s="62">
        <f t="shared" si="1"/>
        <v>1.0097442143727164</v>
      </c>
      <c r="M19" s="61">
        <v>78.9</v>
      </c>
      <c r="N19" s="61">
        <v>83.9</v>
      </c>
      <c r="O19" s="62">
        <f t="shared" si="2"/>
        <v>0.9404052443384983</v>
      </c>
      <c r="P19" s="61"/>
      <c r="Q19" s="61">
        <v>5.6</v>
      </c>
      <c r="R19" s="61"/>
      <c r="S19" s="26"/>
    </row>
    <row r="20" spans="1:19" ht="16.5" customHeight="1">
      <c r="A20" s="37" t="s">
        <v>57</v>
      </c>
      <c r="B20" s="38">
        <v>1060201002</v>
      </c>
      <c r="C20" s="58">
        <v>4582</v>
      </c>
      <c r="D20" s="63"/>
      <c r="E20" s="63">
        <f t="shared" si="6"/>
        <v>4582</v>
      </c>
      <c r="F20" s="63">
        <f>300+93+770+670+150</f>
        <v>1983</v>
      </c>
      <c r="G20" s="63">
        <v>5.7</v>
      </c>
      <c r="H20" s="63">
        <f t="shared" si="9"/>
        <v>1144.1000000000001</v>
      </c>
      <c r="I20" s="59">
        <f t="shared" si="4"/>
        <v>0.2496944565691838</v>
      </c>
      <c r="J20" s="59">
        <f t="shared" si="5"/>
        <v>0.5769541099344428</v>
      </c>
      <c r="K20" s="63">
        <v>835.1</v>
      </c>
      <c r="L20" s="59">
        <f t="shared" si="1"/>
        <v>1.3700155669979643</v>
      </c>
      <c r="M20" s="63">
        <v>1138.4</v>
      </c>
      <c r="N20" s="63">
        <v>832</v>
      </c>
      <c r="O20" s="59">
        <f t="shared" si="2"/>
        <v>1.3682692307692308</v>
      </c>
      <c r="P20" s="63">
        <v>173.7</v>
      </c>
      <c r="Q20" s="63">
        <v>171.4</v>
      </c>
      <c r="R20" s="63">
        <v>171.5</v>
      </c>
      <c r="S20" s="26"/>
    </row>
    <row r="21" spans="1:19" ht="18" customHeight="1">
      <c r="A21" s="37" t="s">
        <v>64</v>
      </c>
      <c r="B21" s="38">
        <v>1080000000</v>
      </c>
      <c r="C21" s="58">
        <v>400</v>
      </c>
      <c r="D21" s="63"/>
      <c r="E21" s="63">
        <f t="shared" si="6"/>
        <v>400</v>
      </c>
      <c r="F21" s="63">
        <f>75+34+90+90</f>
        <v>289</v>
      </c>
      <c r="G21" s="63">
        <v>80.4</v>
      </c>
      <c r="H21" s="63">
        <f t="shared" si="9"/>
        <v>137.4</v>
      </c>
      <c r="I21" s="59">
        <f t="shared" si="4"/>
        <v>0.3435</v>
      </c>
      <c r="J21" s="59">
        <f t="shared" si="5"/>
        <v>0.4754325259515571</v>
      </c>
      <c r="K21" s="63">
        <v>102.8</v>
      </c>
      <c r="L21" s="59">
        <f t="shared" si="1"/>
        <v>1.3365758754863815</v>
      </c>
      <c r="M21" s="63">
        <v>57</v>
      </c>
      <c r="N21" s="63">
        <v>31.8</v>
      </c>
      <c r="O21" s="59">
        <f t="shared" si="2"/>
        <v>1.7924528301886793</v>
      </c>
      <c r="P21" s="63"/>
      <c r="Q21" s="63"/>
      <c r="R21" s="63"/>
      <c r="S21" s="26"/>
    </row>
    <row r="22" spans="1:19" ht="2.25" customHeight="1" hidden="1">
      <c r="A22" s="37" t="s">
        <v>56</v>
      </c>
      <c r="B22" s="38">
        <v>1090000000</v>
      </c>
      <c r="C22" s="58"/>
      <c r="D22" s="63"/>
      <c r="E22" s="63">
        <f t="shared" si="6"/>
        <v>0</v>
      </c>
      <c r="F22" s="63"/>
      <c r="G22" s="63"/>
      <c r="H22" s="63">
        <f t="shared" si="9"/>
        <v>0</v>
      </c>
      <c r="I22" s="59">
        <f t="shared" si="4"/>
        <v>0</v>
      </c>
      <c r="J22" s="59">
        <f t="shared" si="5"/>
        <v>0</v>
      </c>
      <c r="K22" s="63"/>
      <c r="L22" s="59">
        <f t="shared" si="1"/>
        <v>0</v>
      </c>
      <c r="M22" s="63"/>
      <c r="N22" s="63"/>
      <c r="O22" s="59">
        <f t="shared" si="2"/>
        <v>0</v>
      </c>
      <c r="P22" s="63"/>
      <c r="Q22" s="63"/>
      <c r="R22" s="63"/>
      <c r="S22" s="26"/>
    </row>
    <row r="23" spans="1:19" ht="18.75">
      <c r="A23" s="42" t="s">
        <v>22</v>
      </c>
      <c r="B23" s="43"/>
      <c r="C23" s="56">
        <f aca="true" t="shared" si="10" ref="C23:H23">C24+C30+C31+C35+C38+C39</f>
        <v>11320.601</v>
      </c>
      <c r="D23" s="56">
        <f t="shared" si="10"/>
        <v>0</v>
      </c>
      <c r="E23" s="56">
        <f t="shared" si="10"/>
        <v>11320.601</v>
      </c>
      <c r="F23" s="56">
        <f t="shared" si="10"/>
        <v>7948.7</v>
      </c>
      <c r="G23" s="139">
        <f>G24+G30+G31+G35+G38+G39</f>
        <v>2047.4</v>
      </c>
      <c r="H23" s="56">
        <f t="shared" si="10"/>
        <v>3299.7</v>
      </c>
      <c r="I23" s="57">
        <f t="shared" si="4"/>
        <v>0.2914774577780808</v>
      </c>
      <c r="J23" s="57">
        <f t="shared" si="5"/>
        <v>0.41512448576496785</v>
      </c>
      <c r="K23" s="139">
        <f>K24+K30+K31+K35+K38+K39</f>
        <v>7139.9</v>
      </c>
      <c r="L23" s="57">
        <f t="shared" si="1"/>
        <v>0.46214932982254653</v>
      </c>
      <c r="M23" s="139">
        <f>M24+M30+M31+M35+M38+M39</f>
        <v>1252.3000000000002</v>
      </c>
      <c r="N23" s="139">
        <f>N24+N30+N31+N35+N38+N39</f>
        <v>1210.1999999999998</v>
      </c>
      <c r="O23" s="57">
        <f t="shared" si="2"/>
        <v>1.0347876384068753</v>
      </c>
      <c r="P23" s="56">
        <f>P24+P30+P31+P35+P38+P39</f>
        <v>359.9</v>
      </c>
      <c r="Q23" s="56">
        <f>Q24+Q30+Q31+Q35+Q38+Q39</f>
        <v>486.9</v>
      </c>
      <c r="R23" s="56">
        <f>R24+R30+R31+R35+R38+R39</f>
        <v>516.2</v>
      </c>
      <c r="S23" s="26"/>
    </row>
    <row r="24" spans="1:19" ht="18.75">
      <c r="A24" s="44" t="s">
        <v>61</v>
      </c>
      <c r="B24" s="38">
        <v>1110000000</v>
      </c>
      <c r="C24" s="58">
        <f aca="true" t="shared" si="11" ref="C24:H24">SUM(C25:C29)</f>
        <v>1572.2</v>
      </c>
      <c r="D24" s="58">
        <f t="shared" si="11"/>
        <v>0</v>
      </c>
      <c r="E24" s="58">
        <f t="shared" si="11"/>
        <v>1572.2</v>
      </c>
      <c r="F24" s="58">
        <f t="shared" si="11"/>
        <v>2087.3</v>
      </c>
      <c r="G24" s="140">
        <f>SUM(G25:G29)</f>
        <v>162.4</v>
      </c>
      <c r="H24" s="58">
        <f t="shared" si="11"/>
        <v>323.8</v>
      </c>
      <c r="I24" s="59">
        <f t="shared" si="4"/>
        <v>0.20595344103803587</v>
      </c>
      <c r="J24" s="59">
        <f t="shared" si="5"/>
        <v>0.15512863507880995</v>
      </c>
      <c r="K24" s="140">
        <f>SUM(K25:K29)</f>
        <v>301.8</v>
      </c>
      <c r="L24" s="59">
        <f t="shared" si="1"/>
        <v>1.0728959575878065</v>
      </c>
      <c r="M24" s="140">
        <f>SUM(M25:M29)</f>
        <v>161.4</v>
      </c>
      <c r="N24" s="140">
        <f>SUM(N25:N29)</f>
        <v>189.4</v>
      </c>
      <c r="O24" s="59">
        <f t="shared" si="2"/>
        <v>0.8521647307286166</v>
      </c>
      <c r="P24" s="58">
        <f>SUM(P25:P29)</f>
        <v>359.9</v>
      </c>
      <c r="Q24" s="58">
        <f>SUM(Q25:Q29)</f>
        <v>486.9</v>
      </c>
      <c r="R24" s="58">
        <f>SUM(R25:R29)</f>
        <v>516.2</v>
      </c>
      <c r="S24" s="26"/>
    </row>
    <row r="25" spans="1:19" ht="18.75" hidden="1">
      <c r="A25" s="8" t="s">
        <v>20</v>
      </c>
      <c r="B25" s="8">
        <v>1110105005</v>
      </c>
      <c r="C25" s="60"/>
      <c r="D25" s="61"/>
      <c r="E25" s="61">
        <f aca="true" t="shared" si="12" ref="E25:E30">C25+D25</f>
        <v>0</v>
      </c>
      <c r="F25" s="61"/>
      <c r="G25" s="141"/>
      <c r="H25" s="61">
        <f aca="true" t="shared" si="13" ref="H25:H30">G25+M25</f>
        <v>0</v>
      </c>
      <c r="I25" s="62">
        <f t="shared" si="4"/>
        <v>0</v>
      </c>
      <c r="J25" s="62">
        <f t="shared" si="5"/>
        <v>0</v>
      </c>
      <c r="K25" s="141"/>
      <c r="L25" s="62">
        <f t="shared" si="1"/>
        <v>0</v>
      </c>
      <c r="M25" s="141"/>
      <c r="N25" s="141"/>
      <c r="O25" s="62">
        <f t="shared" si="2"/>
        <v>0</v>
      </c>
      <c r="P25" s="61"/>
      <c r="Q25" s="61"/>
      <c r="R25" s="61"/>
      <c r="S25" s="26"/>
    </row>
    <row r="26" spans="1:19" ht="18.75">
      <c r="A26" s="8" t="s">
        <v>58</v>
      </c>
      <c r="B26" s="8">
        <v>1110501300</v>
      </c>
      <c r="C26" s="60">
        <v>1090</v>
      </c>
      <c r="D26" s="61"/>
      <c r="E26" s="61">
        <f t="shared" si="12"/>
        <v>1090</v>
      </c>
      <c r="F26" s="61">
        <f>60+420+420</f>
        <v>900</v>
      </c>
      <c r="G26" s="141">
        <v>105.8</v>
      </c>
      <c r="H26" s="61">
        <f t="shared" si="13"/>
        <v>170.3</v>
      </c>
      <c r="I26" s="62">
        <f t="shared" si="4"/>
        <v>0.15623853211009175</v>
      </c>
      <c r="J26" s="62">
        <f t="shared" si="5"/>
        <v>0.18922222222222224</v>
      </c>
      <c r="K26" s="141">
        <v>90.8</v>
      </c>
      <c r="L26" s="62">
        <f t="shared" si="1"/>
        <v>1.8755506607929517</v>
      </c>
      <c r="M26" s="141">
        <v>64.5</v>
      </c>
      <c r="N26" s="141">
        <v>26.3</v>
      </c>
      <c r="O26" s="62">
        <f t="shared" si="2"/>
        <v>2.4524714828897336</v>
      </c>
      <c r="P26" s="61">
        <f>151.3+142.6</f>
        <v>293.9</v>
      </c>
      <c r="Q26" s="61">
        <f>218.7+125.8</f>
        <v>344.5</v>
      </c>
      <c r="R26" s="61">
        <f>113.8+176</f>
        <v>289.8</v>
      </c>
      <c r="S26" s="26"/>
    </row>
    <row r="27" spans="1:19" ht="18.75">
      <c r="A27" s="8" t="s">
        <v>59</v>
      </c>
      <c r="B27" s="8">
        <v>1110502505</v>
      </c>
      <c r="C27" s="60">
        <v>12.2</v>
      </c>
      <c r="D27" s="61"/>
      <c r="E27" s="61">
        <f t="shared" si="12"/>
        <v>12.2</v>
      </c>
      <c r="F27" s="61"/>
      <c r="G27" s="141"/>
      <c r="H27" s="61">
        <f t="shared" si="13"/>
        <v>0</v>
      </c>
      <c r="I27" s="62">
        <f t="shared" si="4"/>
        <v>0</v>
      </c>
      <c r="J27" s="62">
        <f t="shared" si="5"/>
        <v>0</v>
      </c>
      <c r="K27" s="141"/>
      <c r="L27" s="62">
        <f t="shared" si="1"/>
        <v>0</v>
      </c>
      <c r="M27" s="141"/>
      <c r="N27" s="141"/>
      <c r="O27" s="62">
        <f t="shared" si="2"/>
        <v>0</v>
      </c>
      <c r="P27" s="61"/>
      <c r="Q27" s="61"/>
      <c r="R27" s="61"/>
      <c r="S27" s="26"/>
    </row>
    <row r="28" spans="1:19" ht="18.75">
      <c r="A28" s="8" t="s">
        <v>60</v>
      </c>
      <c r="B28" s="8">
        <v>1110503505</v>
      </c>
      <c r="C28" s="60">
        <v>470</v>
      </c>
      <c r="D28" s="61"/>
      <c r="E28" s="61">
        <f t="shared" si="12"/>
        <v>470</v>
      </c>
      <c r="F28" s="61">
        <f>250+140+365+165.3+267</f>
        <v>1187.3</v>
      </c>
      <c r="G28" s="141">
        <v>56.6</v>
      </c>
      <c r="H28" s="61">
        <f t="shared" si="13"/>
        <v>153.5</v>
      </c>
      <c r="I28" s="62">
        <f t="shared" si="4"/>
        <v>0.32659574468085106</v>
      </c>
      <c r="J28" s="62">
        <f t="shared" si="5"/>
        <v>0.12928493219910722</v>
      </c>
      <c r="K28" s="141">
        <v>208.9</v>
      </c>
      <c r="L28" s="62">
        <f t="shared" si="1"/>
        <v>0.7348013403542365</v>
      </c>
      <c r="M28" s="141">
        <v>96.9</v>
      </c>
      <c r="N28" s="141">
        <v>163.1</v>
      </c>
      <c r="O28" s="62">
        <f t="shared" si="2"/>
        <v>0.5941140404659718</v>
      </c>
      <c r="P28" s="61">
        <v>66</v>
      </c>
      <c r="Q28" s="61">
        <v>142.4</v>
      </c>
      <c r="R28" s="61">
        <v>226.4</v>
      </c>
      <c r="S28" s="26"/>
    </row>
    <row r="29" spans="1:19" ht="18.75">
      <c r="A29" s="8" t="s">
        <v>23</v>
      </c>
      <c r="B29" s="8">
        <v>1110904505</v>
      </c>
      <c r="C29" s="60"/>
      <c r="D29" s="61"/>
      <c r="E29" s="61">
        <f t="shared" si="12"/>
        <v>0</v>
      </c>
      <c r="F29" s="61"/>
      <c r="G29" s="141"/>
      <c r="H29" s="61">
        <f t="shared" si="13"/>
        <v>0</v>
      </c>
      <c r="I29" s="62">
        <f t="shared" si="4"/>
        <v>0</v>
      </c>
      <c r="J29" s="62">
        <f t="shared" si="5"/>
        <v>0</v>
      </c>
      <c r="K29" s="141">
        <v>2.1</v>
      </c>
      <c r="L29" s="62">
        <f t="shared" si="1"/>
        <v>0</v>
      </c>
      <c r="M29" s="141"/>
      <c r="N29" s="141"/>
      <c r="O29" s="62">
        <f t="shared" si="2"/>
        <v>0</v>
      </c>
      <c r="P29" s="61"/>
      <c r="Q29" s="61"/>
      <c r="R29" s="61"/>
      <c r="S29" s="26"/>
    </row>
    <row r="30" spans="1:19" ht="18.75">
      <c r="A30" s="44" t="s">
        <v>65</v>
      </c>
      <c r="B30" s="38">
        <v>1120100000</v>
      </c>
      <c r="C30" s="58">
        <v>31.3</v>
      </c>
      <c r="D30" s="63"/>
      <c r="E30" s="63">
        <f t="shared" si="12"/>
        <v>31.3</v>
      </c>
      <c r="F30" s="63">
        <f>30+30+15</f>
        <v>75</v>
      </c>
      <c r="G30" s="142">
        <v>3.2</v>
      </c>
      <c r="H30" s="63">
        <f t="shared" si="13"/>
        <v>20.8</v>
      </c>
      <c r="I30" s="59">
        <f t="shared" si="4"/>
        <v>0.6645367412140575</v>
      </c>
      <c r="J30" s="59">
        <f t="shared" si="5"/>
        <v>0.2773333333333333</v>
      </c>
      <c r="K30" s="142">
        <v>16.5</v>
      </c>
      <c r="L30" s="59">
        <f t="shared" si="1"/>
        <v>1.2606060606060607</v>
      </c>
      <c r="M30" s="142">
        <v>17.6</v>
      </c>
      <c r="N30" s="142">
        <v>15.3</v>
      </c>
      <c r="O30" s="59">
        <f t="shared" si="2"/>
        <v>1.150326797385621</v>
      </c>
      <c r="P30" s="63"/>
      <c r="Q30" s="63"/>
      <c r="R30" s="63"/>
      <c r="S30" s="26"/>
    </row>
    <row r="31" spans="1:19" ht="18.75">
      <c r="A31" s="44" t="s">
        <v>66</v>
      </c>
      <c r="B31" s="38">
        <v>1130000000</v>
      </c>
      <c r="C31" s="58">
        <f aca="true" t="shared" si="14" ref="C31:H31">SUM(C32:C34)</f>
        <v>9663.101</v>
      </c>
      <c r="D31" s="58">
        <f t="shared" si="14"/>
        <v>0</v>
      </c>
      <c r="E31" s="58">
        <f t="shared" si="14"/>
        <v>9663.101</v>
      </c>
      <c r="F31" s="58">
        <f t="shared" si="14"/>
        <v>5703.4</v>
      </c>
      <c r="G31" s="140">
        <f>SUM(G32:G34)</f>
        <v>1794.3000000000002</v>
      </c>
      <c r="H31" s="58">
        <f t="shared" si="14"/>
        <v>2769.7</v>
      </c>
      <c r="I31" s="59">
        <f t="shared" si="4"/>
        <v>0.2866264152677282</v>
      </c>
      <c r="J31" s="59">
        <f t="shared" si="5"/>
        <v>0.48562261107409616</v>
      </c>
      <c r="K31" s="140">
        <f>SUM(K32:K34)</f>
        <v>2671.6</v>
      </c>
      <c r="L31" s="59">
        <f t="shared" si="1"/>
        <v>1.0367195687977242</v>
      </c>
      <c r="M31" s="140">
        <f>SUM(M32:M34)</f>
        <v>975.4000000000001</v>
      </c>
      <c r="N31" s="140">
        <f>SUM(N32:N34)</f>
        <v>951.4</v>
      </c>
      <c r="O31" s="59">
        <f t="shared" si="2"/>
        <v>1.0252259827622452</v>
      </c>
      <c r="P31" s="58">
        <f>SUM(P32:P34)</f>
        <v>0</v>
      </c>
      <c r="Q31" s="58">
        <f>SUM(Q32:Q34)</f>
        <v>0</v>
      </c>
      <c r="R31" s="58">
        <f>SUM(R32:R34)</f>
        <v>0</v>
      </c>
      <c r="S31" s="26"/>
    </row>
    <row r="32" spans="1:19" ht="18.75">
      <c r="A32" s="45" t="s">
        <v>34</v>
      </c>
      <c r="B32" s="45">
        <v>1130199505</v>
      </c>
      <c r="C32" s="60">
        <v>9113.1</v>
      </c>
      <c r="D32" s="61"/>
      <c r="E32" s="61">
        <f>C32+D32</f>
        <v>9113.1</v>
      </c>
      <c r="F32" s="61">
        <f>1963.4+1945+1295</f>
        <v>5203.4</v>
      </c>
      <c r="G32" s="141">
        <v>1491</v>
      </c>
      <c r="H32" s="61">
        <f>G32+M32</f>
        <v>2236.6</v>
      </c>
      <c r="I32" s="62">
        <f t="shared" si="4"/>
        <v>0.24542691290559743</v>
      </c>
      <c r="J32" s="62">
        <f t="shared" si="5"/>
        <v>0.42983433908598223</v>
      </c>
      <c r="K32" s="141">
        <v>2235.9</v>
      </c>
      <c r="L32" s="62">
        <f t="shared" si="1"/>
        <v>1.0003130730354666</v>
      </c>
      <c r="M32" s="141">
        <v>745.6</v>
      </c>
      <c r="N32" s="141">
        <v>744</v>
      </c>
      <c r="O32" s="62">
        <f t="shared" si="2"/>
        <v>1.0021505376344086</v>
      </c>
      <c r="P32" s="61"/>
      <c r="Q32" s="61"/>
      <c r="R32" s="61"/>
      <c r="S32" s="26"/>
    </row>
    <row r="33" spans="1:19" ht="18.75">
      <c r="A33" s="45" t="s">
        <v>35</v>
      </c>
      <c r="B33" s="45">
        <v>1130206505</v>
      </c>
      <c r="C33" s="60">
        <v>550.001</v>
      </c>
      <c r="D33" s="61"/>
      <c r="E33" s="61">
        <f>C33+D33</f>
        <v>550.001</v>
      </c>
      <c r="F33" s="61">
        <f>240+165+95</f>
        <v>500</v>
      </c>
      <c r="G33" s="141">
        <v>54.9</v>
      </c>
      <c r="H33" s="61">
        <f>G33+M33</f>
        <v>90.6</v>
      </c>
      <c r="I33" s="62">
        <f t="shared" si="4"/>
        <v>0.16472697322368504</v>
      </c>
      <c r="J33" s="62">
        <f t="shared" si="5"/>
        <v>0.1812</v>
      </c>
      <c r="K33" s="141">
        <v>134.6</v>
      </c>
      <c r="L33" s="62">
        <f t="shared" si="1"/>
        <v>0.6731054977711738</v>
      </c>
      <c r="M33" s="141">
        <v>35.7</v>
      </c>
      <c r="N33" s="141">
        <v>75</v>
      </c>
      <c r="O33" s="62">
        <f t="shared" si="2"/>
        <v>0.47600000000000003</v>
      </c>
      <c r="P33" s="61"/>
      <c r="Q33" s="61"/>
      <c r="R33" s="61"/>
      <c r="S33" s="26"/>
    </row>
    <row r="34" spans="1:19" ht="18.75">
      <c r="A34" s="45" t="s">
        <v>62</v>
      </c>
      <c r="B34" s="45">
        <v>1130299505</v>
      </c>
      <c r="C34" s="60"/>
      <c r="D34" s="61"/>
      <c r="E34" s="61">
        <f>C34+D34</f>
        <v>0</v>
      </c>
      <c r="F34" s="61"/>
      <c r="G34" s="141">
        <v>248.4</v>
      </c>
      <c r="H34" s="61">
        <f>G34+M34</f>
        <v>442.5</v>
      </c>
      <c r="I34" s="62">
        <f t="shared" si="4"/>
        <v>0</v>
      </c>
      <c r="J34" s="62">
        <f t="shared" si="5"/>
        <v>0</v>
      </c>
      <c r="K34" s="141">
        <v>301.1</v>
      </c>
      <c r="L34" s="62">
        <f t="shared" si="1"/>
        <v>1.4696114247758219</v>
      </c>
      <c r="M34" s="141">
        <v>194.1</v>
      </c>
      <c r="N34" s="141">
        <v>132.4</v>
      </c>
      <c r="O34" s="62">
        <f t="shared" si="2"/>
        <v>1.466012084592145</v>
      </c>
      <c r="P34" s="61"/>
      <c r="Q34" s="61"/>
      <c r="R34" s="61"/>
      <c r="S34" s="26"/>
    </row>
    <row r="35" spans="1:19" ht="18.75">
      <c r="A35" s="44" t="s">
        <v>67</v>
      </c>
      <c r="B35" s="38">
        <v>1140000000</v>
      </c>
      <c r="C35" s="58">
        <f aca="true" t="shared" si="15" ref="C35:H35">SUM(C36:C37)</f>
        <v>12.5</v>
      </c>
      <c r="D35" s="58">
        <f t="shared" si="15"/>
        <v>0</v>
      </c>
      <c r="E35" s="58">
        <f t="shared" si="15"/>
        <v>12.5</v>
      </c>
      <c r="F35" s="58">
        <f t="shared" si="15"/>
        <v>0</v>
      </c>
      <c r="G35" s="140">
        <f>G36+G37</f>
        <v>10.700000000000001</v>
      </c>
      <c r="H35" s="58">
        <f t="shared" si="15"/>
        <v>16.1</v>
      </c>
      <c r="I35" s="59">
        <f t="shared" si="4"/>
        <v>1.288</v>
      </c>
      <c r="J35" s="59">
        <f t="shared" si="5"/>
        <v>0</v>
      </c>
      <c r="K35" s="140">
        <f>SUM(K36:K37)</f>
        <v>8.5</v>
      </c>
      <c r="L35" s="59">
        <f t="shared" si="1"/>
        <v>1.8941176470588237</v>
      </c>
      <c r="M35" s="140">
        <f>M36+M37</f>
        <v>5.4</v>
      </c>
      <c r="N35" s="140">
        <f>N36+N37</f>
        <v>8.2</v>
      </c>
      <c r="O35" s="59">
        <f>IF(N35&gt;0,M35/N35,0)</f>
        <v>0.6585365853658538</v>
      </c>
      <c r="P35" s="58">
        <f>SUM(P36:P37)</f>
        <v>0</v>
      </c>
      <c r="Q35" s="58">
        <f>SUM(Q36:Q37)</f>
        <v>0</v>
      </c>
      <c r="R35" s="58">
        <f>SUM(R36:R37)</f>
        <v>0</v>
      </c>
      <c r="S35" s="26"/>
    </row>
    <row r="36" spans="1:19" ht="18.75">
      <c r="A36" s="8" t="s">
        <v>31</v>
      </c>
      <c r="B36" s="8">
        <v>1140205205</v>
      </c>
      <c r="C36" s="60"/>
      <c r="D36" s="61"/>
      <c r="E36" s="61">
        <f>C36+D36</f>
        <v>0</v>
      </c>
      <c r="F36" s="61"/>
      <c r="G36" s="141">
        <v>9.3</v>
      </c>
      <c r="H36" s="61">
        <f>G36+M36</f>
        <v>9.3</v>
      </c>
      <c r="I36" s="62">
        <f t="shared" si="4"/>
        <v>0</v>
      </c>
      <c r="J36" s="62">
        <f t="shared" si="5"/>
        <v>0</v>
      </c>
      <c r="K36" s="141"/>
      <c r="L36" s="62">
        <f t="shared" si="1"/>
        <v>0</v>
      </c>
      <c r="M36" s="141"/>
      <c r="N36" s="141"/>
      <c r="O36" s="62">
        <f>IF(N36&gt;0,M36/N36,0)</f>
        <v>0</v>
      </c>
      <c r="P36" s="61"/>
      <c r="Q36" s="61"/>
      <c r="R36" s="61"/>
      <c r="S36" s="26"/>
    </row>
    <row r="37" spans="1:19" ht="18.75">
      <c r="A37" s="8" t="s">
        <v>32</v>
      </c>
      <c r="B37" s="8">
        <v>1140600000</v>
      </c>
      <c r="C37" s="60">
        <v>12.5</v>
      </c>
      <c r="D37" s="61"/>
      <c r="E37" s="61">
        <f>C37+D37</f>
        <v>12.5</v>
      </c>
      <c r="F37" s="61"/>
      <c r="G37" s="141">
        <v>1.4</v>
      </c>
      <c r="H37" s="61">
        <f>G37+M37</f>
        <v>6.800000000000001</v>
      </c>
      <c r="I37" s="62">
        <f t="shared" si="4"/>
        <v>0.544</v>
      </c>
      <c r="J37" s="62">
        <f t="shared" si="5"/>
        <v>0</v>
      </c>
      <c r="K37" s="141">
        <v>8.5</v>
      </c>
      <c r="L37" s="62">
        <f t="shared" si="1"/>
        <v>0.8</v>
      </c>
      <c r="M37" s="141">
        <v>5.4</v>
      </c>
      <c r="N37" s="141">
        <v>8.2</v>
      </c>
      <c r="O37" s="62">
        <f t="shared" si="2"/>
        <v>0.6585365853658538</v>
      </c>
      <c r="P37" s="61"/>
      <c r="Q37" s="61"/>
      <c r="R37" s="61"/>
      <c r="S37" s="26"/>
    </row>
    <row r="38" spans="1:19" ht="18.75">
      <c r="A38" s="44" t="s">
        <v>68</v>
      </c>
      <c r="B38" s="38">
        <v>1160000000</v>
      </c>
      <c r="C38" s="58">
        <v>41.5</v>
      </c>
      <c r="D38" s="63"/>
      <c r="E38" s="63">
        <f>C38+D38</f>
        <v>41.5</v>
      </c>
      <c r="F38" s="63">
        <f>38+45</f>
        <v>83</v>
      </c>
      <c r="G38" s="142">
        <v>77.9</v>
      </c>
      <c r="H38" s="63">
        <f>G38+M38</f>
        <v>100.4</v>
      </c>
      <c r="I38" s="59">
        <f t="shared" si="4"/>
        <v>2.419277108433735</v>
      </c>
      <c r="J38" s="59">
        <f t="shared" si="5"/>
        <v>1.2096385542168675</v>
      </c>
      <c r="K38" s="142">
        <v>4141.5</v>
      </c>
      <c r="L38" s="59">
        <f t="shared" si="1"/>
        <v>0.024242424242424242</v>
      </c>
      <c r="M38" s="142">
        <v>22.5</v>
      </c>
      <c r="N38" s="142">
        <v>50.1</v>
      </c>
      <c r="O38" s="59">
        <f t="shared" si="2"/>
        <v>0.4491017964071856</v>
      </c>
      <c r="P38" s="63"/>
      <c r="Q38" s="63"/>
      <c r="R38" s="63"/>
      <c r="S38" s="26"/>
    </row>
    <row r="39" spans="1:19" ht="18.75">
      <c r="A39" s="44" t="s">
        <v>69</v>
      </c>
      <c r="B39" s="38">
        <v>1170000000</v>
      </c>
      <c r="C39" s="58">
        <f aca="true" t="shared" si="16" ref="C39:H39">SUM(C40:C41)</f>
        <v>0</v>
      </c>
      <c r="D39" s="58">
        <f t="shared" si="16"/>
        <v>0</v>
      </c>
      <c r="E39" s="58">
        <f t="shared" si="16"/>
        <v>0</v>
      </c>
      <c r="F39" s="58">
        <f t="shared" si="16"/>
        <v>0</v>
      </c>
      <c r="G39" s="58">
        <f>SUM(G40:G41)</f>
        <v>-1.1</v>
      </c>
      <c r="H39" s="58">
        <f t="shared" si="16"/>
        <v>68.9</v>
      </c>
      <c r="I39" s="59">
        <f t="shared" si="4"/>
        <v>0</v>
      </c>
      <c r="J39" s="59">
        <f t="shared" si="5"/>
        <v>0</v>
      </c>
      <c r="K39" s="58">
        <f>SUM(K40:K41)</f>
        <v>0</v>
      </c>
      <c r="L39" s="59">
        <f t="shared" si="1"/>
        <v>0</v>
      </c>
      <c r="M39" s="58">
        <f>SUM(M40:M41)</f>
        <v>70</v>
      </c>
      <c r="N39" s="58">
        <f>SUM(N40:N41)</f>
        <v>-4.2</v>
      </c>
      <c r="O39" s="59">
        <f t="shared" si="2"/>
        <v>0</v>
      </c>
      <c r="P39" s="58">
        <f>SUM(P40:P41)</f>
        <v>0</v>
      </c>
      <c r="Q39" s="58">
        <f>SUM(Q40:Q41)</f>
        <v>0</v>
      </c>
      <c r="R39" s="58">
        <f>SUM(R40:R41)</f>
        <v>0</v>
      </c>
      <c r="S39" s="26"/>
    </row>
    <row r="40" spans="1:19" ht="18.75">
      <c r="A40" s="8" t="s">
        <v>8</v>
      </c>
      <c r="B40" s="8">
        <v>1170105005</v>
      </c>
      <c r="C40" s="60"/>
      <c r="D40" s="61"/>
      <c r="E40" s="61">
        <f>C40+D40</f>
        <v>0</v>
      </c>
      <c r="F40" s="61"/>
      <c r="G40" s="141">
        <v>-1.1</v>
      </c>
      <c r="H40" s="61">
        <f>G40+M40</f>
        <v>68.9</v>
      </c>
      <c r="I40" s="62">
        <f t="shared" si="4"/>
        <v>0</v>
      </c>
      <c r="J40" s="62">
        <f t="shared" si="5"/>
        <v>0</v>
      </c>
      <c r="K40" s="141"/>
      <c r="L40" s="62">
        <f t="shared" si="1"/>
        <v>0</v>
      </c>
      <c r="M40" s="141">
        <v>70</v>
      </c>
      <c r="N40" s="141">
        <v>-4.2</v>
      </c>
      <c r="O40" s="62">
        <f t="shared" si="2"/>
        <v>0</v>
      </c>
      <c r="P40" s="61"/>
      <c r="Q40" s="61"/>
      <c r="R40" s="61"/>
      <c r="S40" s="26"/>
    </row>
    <row r="41" spans="1:19" ht="18.75">
      <c r="A41" s="8" t="s">
        <v>14</v>
      </c>
      <c r="B41" s="8">
        <v>1170505005</v>
      </c>
      <c r="C41" s="60"/>
      <c r="D41" s="61"/>
      <c r="E41" s="61">
        <f>C41+D41</f>
        <v>0</v>
      </c>
      <c r="F41" s="61"/>
      <c r="G41" s="141"/>
      <c r="H41" s="61">
        <f>G41+M41</f>
        <v>0</v>
      </c>
      <c r="I41" s="62">
        <f t="shared" si="4"/>
        <v>0</v>
      </c>
      <c r="J41" s="62">
        <f t="shared" si="5"/>
        <v>0</v>
      </c>
      <c r="K41" s="141"/>
      <c r="L41" s="62">
        <f t="shared" si="1"/>
        <v>0</v>
      </c>
      <c r="M41" s="141"/>
      <c r="N41" s="141"/>
      <c r="O41" s="62">
        <f t="shared" si="2"/>
        <v>0</v>
      </c>
      <c r="P41" s="61"/>
      <c r="Q41" s="61"/>
      <c r="R41" s="61"/>
      <c r="S41" s="26"/>
    </row>
    <row r="42" spans="1:20" ht="18.75" customHeight="1">
      <c r="A42" s="43" t="s">
        <v>89</v>
      </c>
      <c r="B42" s="43">
        <v>1000000000</v>
      </c>
      <c r="C42" s="64">
        <f aca="true" t="shared" si="17" ref="C42:H42">C4+C23</f>
        <v>69087.001</v>
      </c>
      <c r="D42" s="64">
        <f t="shared" si="17"/>
        <v>0</v>
      </c>
      <c r="E42" s="64">
        <f t="shared" si="17"/>
        <v>69087.001</v>
      </c>
      <c r="F42" s="56">
        <f t="shared" si="17"/>
        <v>36236.4</v>
      </c>
      <c r="G42" s="56">
        <f>G4+G23</f>
        <v>9098.9</v>
      </c>
      <c r="H42" s="123">
        <f t="shared" si="17"/>
        <v>17121.600000000002</v>
      </c>
      <c r="I42" s="57">
        <f t="shared" si="4"/>
        <v>0.24782664976295615</v>
      </c>
      <c r="J42" s="57">
        <f t="shared" si="5"/>
        <v>0.47249726794052394</v>
      </c>
      <c r="K42" s="123">
        <f>K4+K23</f>
        <v>18416.1</v>
      </c>
      <c r="L42" s="57">
        <f t="shared" si="1"/>
        <v>0.9297082444165705</v>
      </c>
      <c r="M42" s="56">
        <f>M4+M23</f>
        <v>8022.7</v>
      </c>
      <c r="N42" s="56">
        <f>N4+N23</f>
        <v>7239.8</v>
      </c>
      <c r="O42" s="57">
        <f t="shared" si="2"/>
        <v>1.108138346363159</v>
      </c>
      <c r="P42" s="56">
        <f>P4+P23</f>
        <v>1205.6999999999998</v>
      </c>
      <c r="Q42" s="56">
        <f>Q4+Q23</f>
        <v>2855.2000000000003</v>
      </c>
      <c r="R42" s="56">
        <f>R4+R23</f>
        <v>1842.2</v>
      </c>
      <c r="S42" s="164"/>
      <c r="T42" s="163"/>
    </row>
    <row r="43" spans="1:18" ht="18.75" customHeight="1">
      <c r="A43" s="43" t="s">
        <v>91</v>
      </c>
      <c r="B43" s="43"/>
      <c r="C43" s="64">
        <f>C42-C9</f>
        <v>62401.701</v>
      </c>
      <c r="D43" s="64">
        <f>D42-D9</f>
        <v>0</v>
      </c>
      <c r="E43" s="64">
        <f>C43+D43</f>
        <v>62401.701</v>
      </c>
      <c r="F43" s="56">
        <f>F42-F9-1728.4-1750</f>
        <v>27993</v>
      </c>
      <c r="G43" s="56">
        <f>G42-G9-1301.7</f>
        <v>6448.5</v>
      </c>
      <c r="H43" s="123">
        <f>G43+M43</f>
        <v>13228.099999999999</v>
      </c>
      <c r="I43" s="57">
        <f>IF(E43&gt;0,H43/E43,0)</f>
        <v>0.2119830034761392</v>
      </c>
      <c r="J43" s="57">
        <f>IF(F43&gt;0,H43/F43,0)</f>
        <v>0.4725502804272496</v>
      </c>
      <c r="K43" s="56">
        <v>15030.7</v>
      </c>
      <c r="L43" s="57">
        <f t="shared" si="1"/>
        <v>0.8800721190629843</v>
      </c>
      <c r="M43" s="56">
        <f>M42-M9-648.8</f>
        <v>6779.599999999999</v>
      </c>
      <c r="N43" s="56">
        <v>5794.8</v>
      </c>
      <c r="O43" s="57">
        <f t="shared" si="2"/>
        <v>1.1699454683509352</v>
      </c>
      <c r="P43" s="56"/>
      <c r="Q43" s="56"/>
      <c r="R43" s="56"/>
    </row>
    <row r="44" spans="1:18" ht="18.75">
      <c r="A44" s="8" t="s">
        <v>36</v>
      </c>
      <c r="B44" s="8">
        <v>2000000000</v>
      </c>
      <c r="C44" s="60">
        <v>192170.851</v>
      </c>
      <c r="D44" s="134"/>
      <c r="E44" s="61">
        <f>C44+D44</f>
        <v>192170.851</v>
      </c>
      <c r="F44" s="61">
        <f>34850.65+571.1+470.1+38803.34</f>
        <v>74695.19</v>
      </c>
      <c r="G44" s="61">
        <v>28726.8</v>
      </c>
      <c r="H44" s="61">
        <f>G44+M44</f>
        <v>44726</v>
      </c>
      <c r="I44" s="62">
        <f t="shared" si="4"/>
        <v>0.23274081249710446</v>
      </c>
      <c r="J44" s="62">
        <f t="shared" si="5"/>
        <v>0.5987801891929052</v>
      </c>
      <c r="K44" s="61">
        <v>43924.2</v>
      </c>
      <c r="L44" s="62">
        <f t="shared" si="1"/>
        <v>1.0182541742365256</v>
      </c>
      <c r="M44" s="61">
        <v>15999.2</v>
      </c>
      <c r="N44" s="61">
        <v>14719.5</v>
      </c>
      <c r="O44" s="62">
        <f t="shared" si="2"/>
        <v>1.086939094398587</v>
      </c>
      <c r="P44" s="61"/>
      <c r="Q44" s="61"/>
      <c r="R44" s="61"/>
    </row>
    <row r="45" spans="1:18" ht="18.75">
      <c r="A45" s="8" t="s">
        <v>46</v>
      </c>
      <c r="B45" s="46" t="s">
        <v>37</v>
      </c>
      <c r="C45" s="60"/>
      <c r="D45" s="61"/>
      <c r="E45" s="61">
        <f>C45+D45</f>
        <v>0</v>
      </c>
      <c r="F45" s="61"/>
      <c r="G45" s="61">
        <v>45.7</v>
      </c>
      <c r="H45" s="61">
        <f>G45+M45</f>
        <v>54.1</v>
      </c>
      <c r="I45" s="62">
        <f t="shared" si="4"/>
        <v>0</v>
      </c>
      <c r="J45" s="62">
        <f t="shared" si="5"/>
        <v>0</v>
      </c>
      <c r="K45" s="61">
        <v>521.8</v>
      </c>
      <c r="L45" s="62">
        <f t="shared" si="1"/>
        <v>0.10367957071674973</v>
      </c>
      <c r="M45" s="61">
        <v>8.4</v>
      </c>
      <c r="N45" s="61">
        <v>256.7</v>
      </c>
      <c r="O45" s="62">
        <f t="shared" si="2"/>
        <v>0.03272302298402805</v>
      </c>
      <c r="P45" s="61"/>
      <c r="Q45" s="61"/>
      <c r="R45" s="61"/>
    </row>
    <row r="46" spans="1:18" ht="18.75">
      <c r="A46" s="8" t="s">
        <v>108</v>
      </c>
      <c r="B46" s="46" t="s">
        <v>109</v>
      </c>
      <c r="C46" s="60"/>
      <c r="D46" s="61"/>
      <c r="E46" s="61">
        <f>C46+D46</f>
        <v>0</v>
      </c>
      <c r="F46" s="61"/>
      <c r="G46" s="61"/>
      <c r="H46" s="61">
        <f>G46+M46</f>
        <v>0</v>
      </c>
      <c r="I46" s="62">
        <f t="shared" si="4"/>
        <v>0</v>
      </c>
      <c r="J46" s="62"/>
      <c r="K46" s="61"/>
      <c r="L46" s="62">
        <f t="shared" si="1"/>
        <v>0</v>
      </c>
      <c r="M46" s="61"/>
      <c r="N46" s="61"/>
      <c r="O46" s="62"/>
      <c r="P46" s="61"/>
      <c r="Q46" s="61"/>
      <c r="R46" s="61"/>
    </row>
    <row r="47" spans="1:18" ht="18.75">
      <c r="A47" s="8" t="s">
        <v>93</v>
      </c>
      <c r="B47" s="46" t="s">
        <v>110</v>
      </c>
      <c r="C47" s="60"/>
      <c r="D47" s="134">
        <f>-4883.712</f>
        <v>-4883.712</v>
      </c>
      <c r="E47" s="134">
        <f>C47+D47</f>
        <v>-4883.712</v>
      </c>
      <c r="F47" s="61"/>
      <c r="G47" s="61">
        <v>-5132.1</v>
      </c>
      <c r="H47" s="61">
        <f>G47+M47</f>
        <v>-5192.8</v>
      </c>
      <c r="I47" s="62">
        <f t="shared" si="4"/>
        <v>0</v>
      </c>
      <c r="J47" s="62"/>
      <c r="K47" s="61">
        <v>-212.9</v>
      </c>
      <c r="L47" s="62">
        <f t="shared" si="1"/>
        <v>0</v>
      </c>
      <c r="M47" s="61">
        <v>-60.7</v>
      </c>
      <c r="N47" s="61">
        <v>-57.3</v>
      </c>
      <c r="O47" s="62">
        <f t="shared" si="2"/>
        <v>0</v>
      </c>
      <c r="P47" s="61"/>
      <c r="Q47" s="61"/>
      <c r="R47" s="61"/>
    </row>
    <row r="48" spans="1:18" ht="18.75">
      <c r="A48" s="43" t="s">
        <v>2</v>
      </c>
      <c r="B48" s="43">
        <v>0</v>
      </c>
      <c r="C48" s="65">
        <f>C42+C44+C45</f>
        <v>261257.852</v>
      </c>
      <c r="D48" s="65">
        <f>D42+D44+D45+D46+D47</f>
        <v>-4883.712</v>
      </c>
      <c r="E48" s="65">
        <f>E42+E44+E45+E46+E47</f>
        <v>256374.14</v>
      </c>
      <c r="F48" s="123">
        <f>F42+F44+F45</f>
        <v>110931.59</v>
      </c>
      <c r="G48" s="123">
        <f>G42+G44+G45+G46+G47</f>
        <v>32739.299999999996</v>
      </c>
      <c r="H48" s="123">
        <f>H42+H44+H45+H47+H46</f>
        <v>56708.9</v>
      </c>
      <c r="I48" s="57">
        <f t="shared" si="4"/>
        <v>0.221195866322555</v>
      </c>
      <c r="J48" s="57">
        <f t="shared" si="5"/>
        <v>0.5112060505037385</v>
      </c>
      <c r="K48" s="123">
        <f>K42+K44+K45+K47+K46</f>
        <v>62649.2</v>
      </c>
      <c r="L48" s="57">
        <f t="shared" si="1"/>
        <v>0.905181550602402</v>
      </c>
      <c r="M48" s="123">
        <f>M42+M44+M45+M47+M46</f>
        <v>23969.600000000002</v>
      </c>
      <c r="N48" s="123">
        <f>N42+N44+N45+N47+N46</f>
        <v>22158.7</v>
      </c>
      <c r="O48" s="57">
        <f t="shared" si="2"/>
        <v>1.0817241083637579</v>
      </c>
      <c r="P48" s="56">
        <f>P42+P44+P45</f>
        <v>1205.6999999999998</v>
      </c>
      <c r="Q48" s="56">
        <f>Q42+Q44+Q45</f>
        <v>2855.2000000000003</v>
      </c>
      <c r="R48" s="56">
        <f>R42+R44+R45</f>
        <v>1842.2</v>
      </c>
    </row>
    <row r="49" spans="1:3" ht="19.5" customHeight="1">
      <c r="A49" s="3"/>
      <c r="B49" s="3"/>
      <c r="C49" s="3"/>
    </row>
    <row r="50" spans="1:7" ht="20.25">
      <c r="A50" s="3"/>
      <c r="B50" s="3"/>
      <c r="C50" s="3"/>
      <c r="E50" s="143"/>
      <c r="G50" s="135"/>
    </row>
    <row r="51" spans="1:3" ht="12.75">
      <c r="A51" s="3"/>
      <c r="B51" s="3"/>
      <c r="C51" s="3"/>
    </row>
    <row r="52" spans="1:8" ht="12.75">
      <c r="A52" s="3"/>
      <c r="B52" s="3"/>
      <c r="C52" s="3"/>
      <c r="H52" s="143"/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J2"/>
    <mergeCell ref="P2:R2"/>
    <mergeCell ref="K2:L2"/>
    <mergeCell ref="M2:M3"/>
    <mergeCell ref="N2:N3"/>
    <mergeCell ref="O2:O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7" sqref="R7:R25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3.87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1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2.12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0"/>
      <c r="P1" s="26"/>
      <c r="Q1" s="26"/>
      <c r="R1" s="26"/>
    </row>
    <row r="2" spans="1:18" ht="15.75">
      <c r="A2" s="26"/>
      <c r="B2" s="171" t="s">
        <v>125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3.5" customHeight="1" thickBot="1">
      <c r="A3" s="172" t="s">
        <v>3</v>
      </c>
      <c r="B3" s="174" t="s">
        <v>4</v>
      </c>
      <c r="C3" s="168" t="s">
        <v>112</v>
      </c>
      <c r="D3" s="168" t="s">
        <v>24</v>
      </c>
      <c r="E3" s="168" t="s">
        <v>113</v>
      </c>
      <c r="F3" s="168" t="s">
        <v>99</v>
      </c>
      <c r="G3" s="168" t="s">
        <v>118</v>
      </c>
      <c r="H3" s="168" t="s">
        <v>114</v>
      </c>
      <c r="I3" s="168"/>
      <c r="J3" s="168"/>
      <c r="K3" s="168" t="s">
        <v>111</v>
      </c>
      <c r="L3" s="168"/>
      <c r="M3" s="168" t="s">
        <v>121</v>
      </c>
      <c r="N3" s="168" t="s">
        <v>122</v>
      </c>
      <c r="O3" s="168" t="s">
        <v>30</v>
      </c>
      <c r="P3" s="168" t="s">
        <v>9</v>
      </c>
      <c r="Q3" s="168"/>
      <c r="R3" s="168"/>
    </row>
    <row r="4" spans="1:21" ht="111" customHeight="1" thickBot="1">
      <c r="A4" s="173"/>
      <c r="B4" s="175"/>
      <c r="C4" s="168"/>
      <c r="D4" s="168"/>
      <c r="E4" s="168"/>
      <c r="F4" s="168"/>
      <c r="G4" s="168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8"/>
      <c r="N4" s="168"/>
      <c r="O4" s="168"/>
      <c r="P4" s="124" t="s">
        <v>115</v>
      </c>
      <c r="Q4" s="124" t="s">
        <v>119</v>
      </c>
      <c r="R4" s="124" t="s">
        <v>123</v>
      </c>
      <c r="S4" s="1"/>
      <c r="T4" s="1"/>
      <c r="U4" s="2"/>
    </row>
    <row r="5" spans="1:21" ht="21.75" customHeight="1">
      <c r="A5" s="51" t="s">
        <v>21</v>
      </c>
      <c r="B5" s="52"/>
      <c r="C5" s="91">
        <f aca="true" t="shared" si="0" ref="C5:H5">C6+C15+C17+C22+C10</f>
        <v>7474.790000000001</v>
      </c>
      <c r="D5" s="91">
        <f t="shared" si="0"/>
        <v>325.5</v>
      </c>
      <c r="E5" s="91">
        <f t="shared" si="0"/>
        <v>7800.290000000001</v>
      </c>
      <c r="F5" s="91">
        <f t="shared" si="0"/>
        <v>0</v>
      </c>
      <c r="G5" s="91">
        <f t="shared" si="0"/>
        <v>1117.8</v>
      </c>
      <c r="H5" s="167">
        <f t="shared" si="0"/>
        <v>1728.6</v>
      </c>
      <c r="I5" s="92">
        <f>IF(E5&gt;0,H5/E5,0)</f>
        <v>0.22160714537536422</v>
      </c>
      <c r="J5" s="92">
        <f>IF(F5&gt;0,H5/F5,0)</f>
        <v>0</v>
      </c>
      <c r="K5" s="91">
        <f>K6+K15+K17+K22+K10</f>
        <v>1542.9999999999998</v>
      </c>
      <c r="L5" s="92">
        <f aca="true" t="shared" si="1" ref="L5:L47">IF(K5&gt;0,H5/K5,0)</f>
        <v>1.1202851587815943</v>
      </c>
      <c r="M5" s="91">
        <f>M6+M15+M17+M22+M10</f>
        <v>610.8</v>
      </c>
      <c r="N5" s="91">
        <f>N6+N15+N17+N22+N10</f>
        <v>554</v>
      </c>
      <c r="O5" s="92">
        <f aca="true" t="shared" si="2" ref="O5:O21">IF(N5&gt;0,M5/N5,0)</f>
        <v>1.1025270758122743</v>
      </c>
      <c r="P5" s="91">
        <f>P6+P15+P17+P22+P10</f>
        <v>935.1</v>
      </c>
      <c r="Q5" s="91">
        <f>Q6+Q15+Q17+Q22+Q10</f>
        <v>928.4</v>
      </c>
      <c r="R5" s="91">
        <f>R6+R15+R17+R22+R10</f>
        <v>871.9999999999999</v>
      </c>
      <c r="S5" s="4"/>
      <c r="T5" s="4"/>
      <c r="U5" s="4"/>
    </row>
    <row r="6" spans="1:18" ht="18" customHeight="1">
      <c r="A6" s="9" t="s">
        <v>63</v>
      </c>
      <c r="B6" s="53">
        <v>1010200001</v>
      </c>
      <c r="C6" s="74">
        <f aca="true" t="shared" si="3" ref="C6:H6">C7+C8+C9</f>
        <v>4683.400000000001</v>
      </c>
      <c r="D6" s="74">
        <f t="shared" si="3"/>
        <v>250</v>
      </c>
      <c r="E6" s="74">
        <f t="shared" si="3"/>
        <v>4933.400000000001</v>
      </c>
      <c r="F6" s="74">
        <f t="shared" si="3"/>
        <v>0</v>
      </c>
      <c r="G6" s="74">
        <f t="shared" si="3"/>
        <v>736.3000000000001</v>
      </c>
      <c r="H6" s="74">
        <f t="shared" si="3"/>
        <v>1172.1</v>
      </c>
      <c r="I6" s="89">
        <f aca="true" t="shared" si="4" ref="I6:I47">IF(E6&gt;0,H6/E6,0)</f>
        <v>0.23758462723476706</v>
      </c>
      <c r="J6" s="89">
        <f>IF(F6&gt;0,H6/F6,0)</f>
        <v>0</v>
      </c>
      <c r="K6" s="74">
        <f>K7+K8+K9</f>
        <v>1080.3999999999999</v>
      </c>
      <c r="L6" s="89">
        <f t="shared" si="1"/>
        <v>1.0848759718622734</v>
      </c>
      <c r="M6" s="74">
        <f>M7+M8+M9</f>
        <v>435.79999999999995</v>
      </c>
      <c r="N6" s="74">
        <f>N7+N8+N9</f>
        <v>397.50000000000006</v>
      </c>
      <c r="O6" s="89">
        <f t="shared" si="2"/>
        <v>1.0963522012578613</v>
      </c>
      <c r="P6" s="74">
        <f>P7+P8+P9</f>
        <v>32.5</v>
      </c>
      <c r="Q6" s="74">
        <f>Q7+Q8+Q9</f>
        <v>26.6</v>
      </c>
      <c r="R6" s="74">
        <f>R7+R8+R9</f>
        <v>28.9</v>
      </c>
    </row>
    <row r="7" spans="1:18" ht="18">
      <c r="A7" s="10" t="s">
        <v>44</v>
      </c>
      <c r="B7" s="13">
        <v>1010201001</v>
      </c>
      <c r="C7" s="73">
        <v>4643.8</v>
      </c>
      <c r="D7" s="70">
        <v>250</v>
      </c>
      <c r="E7" s="73">
        <f>C7+D7</f>
        <v>4893.8</v>
      </c>
      <c r="F7" s="73"/>
      <c r="G7" s="70">
        <v>729.7</v>
      </c>
      <c r="H7" s="70">
        <f>G7+M7</f>
        <v>1165.1</v>
      </c>
      <c r="I7" s="79">
        <f t="shared" si="4"/>
        <v>0.23807675017368912</v>
      </c>
      <c r="J7" s="79">
        <f aca="true" t="shared" si="5" ref="J7:J47">IF(F7&gt;0,H7/F7,0)</f>
        <v>0</v>
      </c>
      <c r="K7" s="70">
        <v>1079.3</v>
      </c>
      <c r="L7" s="79">
        <f t="shared" si="1"/>
        <v>1.0794959696099322</v>
      </c>
      <c r="M7" s="70">
        <v>435.4</v>
      </c>
      <c r="N7" s="70">
        <v>397.1</v>
      </c>
      <c r="O7" s="79">
        <f t="shared" si="2"/>
        <v>1.096449257114077</v>
      </c>
      <c r="P7" s="73">
        <v>24.7</v>
      </c>
      <c r="Q7" s="73">
        <v>18.1</v>
      </c>
      <c r="R7" s="73">
        <v>20.4</v>
      </c>
    </row>
    <row r="8" spans="1:18" ht="18">
      <c r="A8" s="10" t="s">
        <v>43</v>
      </c>
      <c r="B8" s="13">
        <v>1010202001</v>
      </c>
      <c r="C8" s="73">
        <v>15.5</v>
      </c>
      <c r="D8" s="70"/>
      <c r="E8" s="73">
        <f>C8+D8</f>
        <v>15.5</v>
      </c>
      <c r="F8" s="73"/>
      <c r="G8" s="73"/>
      <c r="H8" s="70">
        <f>G8+M8</f>
        <v>0.2</v>
      </c>
      <c r="I8" s="79">
        <f t="shared" si="4"/>
        <v>0.012903225806451613</v>
      </c>
      <c r="J8" s="79">
        <f t="shared" si="5"/>
        <v>0</v>
      </c>
      <c r="K8" s="73">
        <v>0.3</v>
      </c>
      <c r="L8" s="79">
        <f t="shared" si="1"/>
        <v>0.6666666666666667</v>
      </c>
      <c r="M8" s="73">
        <v>0.2</v>
      </c>
      <c r="N8" s="73">
        <v>0.3</v>
      </c>
      <c r="O8" s="79">
        <f>IF(N8&gt;0,M8/N8,0)</f>
        <v>0.6666666666666667</v>
      </c>
      <c r="P8" s="73"/>
      <c r="Q8" s="73">
        <v>0.7</v>
      </c>
      <c r="R8" s="73">
        <v>0.7</v>
      </c>
    </row>
    <row r="9" spans="1:18" ht="18">
      <c r="A9" s="10" t="s">
        <v>42</v>
      </c>
      <c r="B9" s="13">
        <v>1010203001</v>
      </c>
      <c r="C9" s="73">
        <v>24.1</v>
      </c>
      <c r="D9" s="73"/>
      <c r="E9" s="73">
        <f>C9+D9</f>
        <v>24.1</v>
      </c>
      <c r="F9" s="73"/>
      <c r="G9" s="73">
        <v>6.6</v>
      </c>
      <c r="H9" s="70">
        <f>G9+M9</f>
        <v>6.8</v>
      </c>
      <c r="I9" s="79">
        <f t="shared" si="4"/>
        <v>0.2821576763485477</v>
      </c>
      <c r="J9" s="79">
        <f t="shared" si="5"/>
        <v>0</v>
      </c>
      <c r="K9" s="73">
        <v>0.8</v>
      </c>
      <c r="L9" s="79">
        <f t="shared" si="1"/>
        <v>8.5</v>
      </c>
      <c r="M9" s="73">
        <v>0.2</v>
      </c>
      <c r="N9" s="73">
        <v>0.1</v>
      </c>
      <c r="O9" s="79">
        <f t="shared" si="2"/>
        <v>2</v>
      </c>
      <c r="P9" s="73">
        <v>7.8</v>
      </c>
      <c r="Q9" s="73">
        <v>7.8</v>
      </c>
      <c r="R9" s="73">
        <v>7.8</v>
      </c>
    </row>
    <row r="10" spans="1:22" ht="20.25" customHeight="1">
      <c r="A10" s="11" t="s">
        <v>48</v>
      </c>
      <c r="B10" s="19">
        <v>1030200001</v>
      </c>
      <c r="C10" s="74">
        <f aca="true" t="shared" si="6" ref="C10:H10">SUM(C11:C14)</f>
        <v>1171.39</v>
      </c>
      <c r="D10" s="74">
        <f t="shared" si="6"/>
        <v>0</v>
      </c>
      <c r="E10" s="74">
        <f t="shared" si="6"/>
        <v>1171.39</v>
      </c>
      <c r="F10" s="74">
        <f t="shared" si="6"/>
        <v>0</v>
      </c>
      <c r="G10" s="74">
        <f>SUM(G11:G14)</f>
        <v>236.2</v>
      </c>
      <c r="H10" s="74">
        <f t="shared" si="6"/>
        <v>340.3</v>
      </c>
      <c r="I10" s="89">
        <f>IF(E10&gt;0,H10/E10,0)</f>
        <v>0.2905095655588659</v>
      </c>
      <c r="J10" s="89">
        <f>IF(F10&gt;0,H10/F10,0)</f>
        <v>0</v>
      </c>
      <c r="K10" s="74">
        <f>SUM(K11:K14)</f>
        <v>269.59999999999997</v>
      </c>
      <c r="L10" s="89">
        <f t="shared" si="1"/>
        <v>1.2622403560830862</v>
      </c>
      <c r="M10" s="74">
        <f>SUM(M11:M14)</f>
        <v>104.1</v>
      </c>
      <c r="N10" s="74">
        <f>SUM(N11:N14)</f>
        <v>143.7</v>
      </c>
      <c r="O10" s="89">
        <f t="shared" si="2"/>
        <v>0.7244258872651357</v>
      </c>
      <c r="P10" s="74">
        <f>SUM(P11:P14)</f>
        <v>0</v>
      </c>
      <c r="Q10" s="74">
        <f>SUM(Q11:Q14)</f>
        <v>0</v>
      </c>
      <c r="R10" s="74">
        <f>SUM(R11:R14)</f>
        <v>0</v>
      </c>
      <c r="V10">
        <v>1057</v>
      </c>
    </row>
    <row r="11" spans="1:18" ht="18.75" customHeight="1">
      <c r="A11" s="12" t="s">
        <v>49</v>
      </c>
      <c r="B11" s="12">
        <v>1030223101</v>
      </c>
      <c r="C11" s="73">
        <v>435.92</v>
      </c>
      <c r="D11" s="73"/>
      <c r="E11" s="69">
        <f>C11+D11</f>
        <v>435.92</v>
      </c>
      <c r="F11" s="69"/>
      <c r="G11" s="73">
        <v>104.6</v>
      </c>
      <c r="H11" s="71">
        <f>G11+M11</f>
        <v>149.5</v>
      </c>
      <c r="I11" s="72">
        <f>IF(E11&gt;0,H11/E11,0)</f>
        <v>0.342952835382639</v>
      </c>
      <c r="J11" s="72">
        <f>IF(F11&gt;0,H11/F11,0)</f>
        <v>0</v>
      </c>
      <c r="K11" s="73">
        <v>111.1</v>
      </c>
      <c r="L11" s="72">
        <f t="shared" si="1"/>
        <v>1.3456345634563458</v>
      </c>
      <c r="M11" s="73">
        <v>44.9</v>
      </c>
      <c r="N11" s="73">
        <v>58.4</v>
      </c>
      <c r="O11" s="72">
        <f t="shared" si="2"/>
        <v>0.7688356164383562</v>
      </c>
      <c r="P11" s="73"/>
      <c r="Q11" s="73"/>
      <c r="R11" s="73"/>
    </row>
    <row r="12" spans="1:18" ht="18" customHeight="1">
      <c r="A12" s="12" t="s">
        <v>50</v>
      </c>
      <c r="B12" s="12">
        <v>1030224101</v>
      </c>
      <c r="C12" s="73">
        <v>2.08</v>
      </c>
      <c r="D12" s="73"/>
      <c r="E12" s="69">
        <f>C12+D12</f>
        <v>2.08</v>
      </c>
      <c r="F12" s="69"/>
      <c r="G12" s="73">
        <v>0.7</v>
      </c>
      <c r="H12" s="71">
        <f>G12+M12</f>
        <v>1</v>
      </c>
      <c r="I12" s="72">
        <f>IF(E12&gt;0,H12/E12,0)</f>
        <v>0.4807692307692307</v>
      </c>
      <c r="J12" s="72">
        <f>IF(F12&gt;0,H12/F12,0)</f>
        <v>0</v>
      </c>
      <c r="K12" s="73">
        <v>0.7</v>
      </c>
      <c r="L12" s="72">
        <f t="shared" si="1"/>
        <v>1.4285714285714286</v>
      </c>
      <c r="M12" s="73">
        <v>0.3</v>
      </c>
      <c r="N12" s="73">
        <v>0.5</v>
      </c>
      <c r="O12" s="72">
        <f t="shared" si="2"/>
        <v>0.6</v>
      </c>
      <c r="P12" s="73"/>
      <c r="Q12" s="73"/>
      <c r="R12" s="73"/>
    </row>
    <row r="13" spans="1:18" ht="18.75" customHeight="1">
      <c r="A13" s="12" t="s">
        <v>51</v>
      </c>
      <c r="B13" s="12">
        <v>1030225101</v>
      </c>
      <c r="C13" s="73">
        <v>792.7</v>
      </c>
      <c r="D13" s="73"/>
      <c r="E13" s="69">
        <f>C13+D13</f>
        <v>792.7</v>
      </c>
      <c r="F13" s="69"/>
      <c r="G13" s="73">
        <v>153.7</v>
      </c>
      <c r="H13" s="71">
        <f>G13+M13</f>
        <v>219.2</v>
      </c>
      <c r="I13" s="72">
        <f>IF(E13&gt;0,H13/E13,0)</f>
        <v>0.2765232748833102</v>
      </c>
      <c r="J13" s="72">
        <f>IF(F13&gt;0,H13/F13,0)</f>
        <v>0</v>
      </c>
      <c r="K13" s="73">
        <v>180.9</v>
      </c>
      <c r="L13" s="72">
        <f t="shared" si="1"/>
        <v>1.2117191818684354</v>
      </c>
      <c r="M13" s="73">
        <v>65.5</v>
      </c>
      <c r="N13" s="73">
        <v>94.8</v>
      </c>
      <c r="O13" s="72">
        <f t="shared" si="2"/>
        <v>0.6909282700421941</v>
      </c>
      <c r="P13" s="73"/>
      <c r="Q13" s="73"/>
      <c r="R13" s="73"/>
    </row>
    <row r="14" spans="1:18" ht="18" customHeight="1">
      <c r="A14" s="12" t="s">
        <v>52</v>
      </c>
      <c r="B14" s="12">
        <v>1030226101</v>
      </c>
      <c r="C14" s="73">
        <v>-59.31</v>
      </c>
      <c r="D14" s="73"/>
      <c r="E14" s="69">
        <f>C14+D14</f>
        <v>-59.31</v>
      </c>
      <c r="F14" s="69"/>
      <c r="G14" s="73">
        <v>-22.8</v>
      </c>
      <c r="H14" s="71">
        <f>G14+M14</f>
        <v>-29.4</v>
      </c>
      <c r="I14" s="72">
        <f>H14/E14</f>
        <v>0.4957005563985837</v>
      </c>
      <c r="J14" s="72">
        <f>IF(F14&gt;0,H14/F14,0)</f>
        <v>0</v>
      </c>
      <c r="K14" s="73">
        <v>-23.1</v>
      </c>
      <c r="L14" s="72">
        <f t="shared" si="1"/>
        <v>0</v>
      </c>
      <c r="M14" s="73">
        <v>-6.6</v>
      </c>
      <c r="N14" s="73">
        <v>-10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7" ref="C15:H15">C16</f>
        <v>0</v>
      </c>
      <c r="D15" s="75">
        <f t="shared" si="7"/>
        <v>0</v>
      </c>
      <c r="E15" s="75">
        <f t="shared" si="7"/>
        <v>0</v>
      </c>
      <c r="F15" s="75">
        <f t="shared" si="7"/>
        <v>0</v>
      </c>
      <c r="G15" s="74">
        <f>G16</f>
        <v>0.3</v>
      </c>
      <c r="H15" s="75">
        <f t="shared" si="7"/>
        <v>0.3</v>
      </c>
      <c r="I15" s="68">
        <f t="shared" si="4"/>
        <v>0</v>
      </c>
      <c r="J15" s="68">
        <f t="shared" si="5"/>
        <v>0</v>
      </c>
      <c r="K15" s="74">
        <f>K16</f>
        <v>0</v>
      </c>
      <c r="L15" s="68">
        <f t="shared" si="1"/>
        <v>0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/>
      <c r="D16" s="85"/>
      <c r="E16" s="69">
        <f>C16+D16</f>
        <v>0</v>
      </c>
      <c r="F16" s="69"/>
      <c r="G16" s="73">
        <v>0.3</v>
      </c>
      <c r="H16" s="71">
        <f>G16+M16</f>
        <v>0.3</v>
      </c>
      <c r="I16" s="72">
        <f t="shared" si="4"/>
        <v>0</v>
      </c>
      <c r="J16" s="72">
        <f t="shared" si="5"/>
        <v>0</v>
      </c>
      <c r="K16" s="73"/>
      <c r="L16" s="72">
        <f t="shared" si="1"/>
        <v>0</v>
      </c>
      <c r="M16" s="73"/>
      <c r="N16" s="73"/>
      <c r="O16" s="72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8" ref="C17:H17">C18+C21</f>
        <v>1620</v>
      </c>
      <c r="D17" s="75">
        <f t="shared" si="8"/>
        <v>75.5</v>
      </c>
      <c r="E17" s="131">
        <f t="shared" si="8"/>
        <v>1695.5</v>
      </c>
      <c r="F17" s="75">
        <f t="shared" si="8"/>
        <v>0</v>
      </c>
      <c r="G17" s="75">
        <f>G18+G21</f>
        <v>145</v>
      </c>
      <c r="H17" s="75">
        <f t="shared" si="8"/>
        <v>215.9</v>
      </c>
      <c r="I17" s="68">
        <f t="shared" si="4"/>
        <v>0.1273370687112946</v>
      </c>
      <c r="J17" s="68">
        <f t="shared" si="5"/>
        <v>0</v>
      </c>
      <c r="K17" s="75">
        <f>K18+K21</f>
        <v>193</v>
      </c>
      <c r="L17" s="68">
        <f t="shared" si="1"/>
        <v>1.1186528497409327</v>
      </c>
      <c r="M17" s="75">
        <f>M18+M21</f>
        <v>70.9</v>
      </c>
      <c r="N17" s="75">
        <f>N18+N21</f>
        <v>12.8</v>
      </c>
      <c r="O17" s="68">
        <f t="shared" si="2"/>
        <v>5.5390625</v>
      </c>
      <c r="P17" s="74">
        <f>P18+P21</f>
        <v>902.6</v>
      </c>
      <c r="Q17" s="74">
        <f>Q18+Q21</f>
        <v>901.8</v>
      </c>
      <c r="R17" s="74">
        <f>R18+R21</f>
        <v>843.0999999999999</v>
      </c>
    </row>
    <row r="18" spans="1:18" ht="18">
      <c r="A18" s="13" t="s">
        <v>13</v>
      </c>
      <c r="B18" s="13">
        <v>1060600000</v>
      </c>
      <c r="C18" s="70">
        <f aca="true" t="shared" si="9" ref="C18:H18">C19+C20</f>
        <v>873</v>
      </c>
      <c r="D18" s="70">
        <f t="shared" si="9"/>
        <v>75.5</v>
      </c>
      <c r="E18" s="70">
        <f t="shared" si="9"/>
        <v>948.5</v>
      </c>
      <c r="F18" s="70">
        <f t="shared" si="9"/>
        <v>0</v>
      </c>
      <c r="G18" s="76">
        <f>G19+G20</f>
        <v>135</v>
      </c>
      <c r="H18" s="70">
        <f t="shared" si="9"/>
        <v>198.5</v>
      </c>
      <c r="I18" s="72">
        <f t="shared" si="4"/>
        <v>0.20927780706378493</v>
      </c>
      <c r="J18" s="72">
        <f t="shared" si="5"/>
        <v>0</v>
      </c>
      <c r="K18" s="76">
        <f>K19+K20</f>
        <v>176.4</v>
      </c>
      <c r="L18" s="72">
        <f t="shared" si="1"/>
        <v>1.125283446712018</v>
      </c>
      <c r="M18" s="76">
        <f>M19+M20</f>
        <v>63.5</v>
      </c>
      <c r="N18" s="76">
        <f>N19+N20</f>
        <v>11.200000000000001</v>
      </c>
      <c r="O18" s="72">
        <f t="shared" si="2"/>
        <v>5.669642857142857</v>
      </c>
      <c r="P18" s="73">
        <f>P19+P20</f>
        <v>623.7</v>
      </c>
      <c r="Q18" s="73">
        <f>Q19+Q20</f>
        <v>630.4</v>
      </c>
      <c r="R18" s="73">
        <f>R19+R20</f>
        <v>579.3</v>
      </c>
    </row>
    <row r="19" spans="1:18" ht="18">
      <c r="A19" s="13" t="s">
        <v>100</v>
      </c>
      <c r="B19" s="13">
        <v>1060603313</v>
      </c>
      <c r="C19" s="73">
        <v>273</v>
      </c>
      <c r="D19" s="70">
        <f>37</f>
        <v>37</v>
      </c>
      <c r="E19" s="69">
        <f>C19+D19</f>
        <v>310</v>
      </c>
      <c r="F19" s="69"/>
      <c r="G19" s="73">
        <v>103.4</v>
      </c>
      <c r="H19" s="71">
        <f>G19+M19</f>
        <v>162.4</v>
      </c>
      <c r="I19" s="72">
        <f t="shared" si="4"/>
        <v>0.5238709677419355</v>
      </c>
      <c r="J19" s="72">
        <f t="shared" si="5"/>
        <v>0</v>
      </c>
      <c r="K19" s="73">
        <v>145.4</v>
      </c>
      <c r="L19" s="72">
        <f t="shared" si="1"/>
        <v>1.1169188445667124</v>
      </c>
      <c r="M19" s="73">
        <v>59</v>
      </c>
      <c r="N19" s="73">
        <v>1.3</v>
      </c>
      <c r="O19" s="72">
        <f t="shared" si="2"/>
        <v>45.38461538461538</v>
      </c>
      <c r="P19" s="73">
        <v>463.1</v>
      </c>
      <c r="Q19" s="73">
        <v>495.4</v>
      </c>
      <c r="R19" s="73">
        <v>450</v>
      </c>
    </row>
    <row r="20" spans="1:18" ht="18">
      <c r="A20" s="13" t="s">
        <v>101</v>
      </c>
      <c r="B20" s="13">
        <v>1060604313</v>
      </c>
      <c r="C20" s="73">
        <v>600</v>
      </c>
      <c r="D20" s="70">
        <f>38.5</f>
        <v>38.5</v>
      </c>
      <c r="E20" s="69">
        <f>C20+D20</f>
        <v>638.5</v>
      </c>
      <c r="F20" s="69"/>
      <c r="G20" s="73">
        <v>31.6</v>
      </c>
      <c r="H20" s="71">
        <f>G20+M20</f>
        <v>36.1</v>
      </c>
      <c r="I20" s="72">
        <f t="shared" si="4"/>
        <v>0.05653876272513704</v>
      </c>
      <c r="J20" s="72">
        <f t="shared" si="5"/>
        <v>0</v>
      </c>
      <c r="K20" s="73">
        <v>31</v>
      </c>
      <c r="L20" s="72">
        <f t="shared" si="1"/>
        <v>1.164516129032258</v>
      </c>
      <c r="M20" s="73">
        <v>4.5</v>
      </c>
      <c r="N20" s="73">
        <v>9.9</v>
      </c>
      <c r="O20" s="72">
        <f t="shared" si="2"/>
        <v>0.45454545454545453</v>
      </c>
      <c r="P20" s="73">
        <v>160.6</v>
      </c>
      <c r="Q20" s="73">
        <v>135</v>
      </c>
      <c r="R20" s="73">
        <v>129.3</v>
      </c>
    </row>
    <row r="21" spans="1:18" ht="18">
      <c r="A21" s="13" t="s">
        <v>12</v>
      </c>
      <c r="B21" s="13">
        <v>1060103013</v>
      </c>
      <c r="C21" s="73">
        <v>747</v>
      </c>
      <c r="D21" s="70"/>
      <c r="E21" s="69">
        <f>C21+D21</f>
        <v>747</v>
      </c>
      <c r="F21" s="69"/>
      <c r="G21" s="73">
        <v>10</v>
      </c>
      <c r="H21" s="71">
        <f>G21+M21</f>
        <v>17.4</v>
      </c>
      <c r="I21" s="72">
        <f t="shared" si="4"/>
        <v>0.023293172690763052</v>
      </c>
      <c r="J21" s="72">
        <f t="shared" si="5"/>
        <v>0</v>
      </c>
      <c r="K21" s="73">
        <v>16.6</v>
      </c>
      <c r="L21" s="72">
        <f t="shared" si="1"/>
        <v>1.0481927710843373</v>
      </c>
      <c r="M21" s="73">
        <v>7.4</v>
      </c>
      <c r="N21" s="73">
        <v>1.6</v>
      </c>
      <c r="O21" s="72">
        <f t="shared" si="2"/>
        <v>4.625</v>
      </c>
      <c r="P21" s="73">
        <v>278.9</v>
      </c>
      <c r="Q21" s="73">
        <v>271.4</v>
      </c>
      <c r="R21" s="73">
        <v>263.8</v>
      </c>
    </row>
    <row r="22" spans="1:18" ht="1.5" customHeight="1">
      <c r="A22" s="9" t="s">
        <v>73</v>
      </c>
      <c r="B22" s="30">
        <v>1090405010</v>
      </c>
      <c r="C22" s="74"/>
      <c r="D22" s="75"/>
      <c r="E22" s="67">
        <f>C22+D22</f>
        <v>0</v>
      </c>
      <c r="F22" s="67"/>
      <c r="G22" s="74"/>
      <c r="H22" s="77">
        <f>G22+M22</f>
        <v>0</v>
      </c>
      <c r="I22" s="68">
        <f t="shared" si="4"/>
        <v>0</v>
      </c>
      <c r="J22" s="68">
        <f t="shared" si="5"/>
        <v>0</v>
      </c>
      <c r="K22" s="74"/>
      <c r="L22" s="68">
        <f t="shared" si="1"/>
        <v>0</v>
      </c>
      <c r="M22" s="74"/>
      <c r="N22" s="74"/>
      <c r="O22" s="68">
        <f aca="true" t="shared" si="10" ref="O22:O37">IF(N22&gt;0,M22/N22,0)</f>
        <v>0</v>
      </c>
      <c r="P22" s="74"/>
      <c r="Q22" s="74"/>
      <c r="R22" s="74"/>
    </row>
    <row r="23" spans="1:18" ht="18">
      <c r="A23" s="14" t="s">
        <v>22</v>
      </c>
      <c r="B23" s="32"/>
      <c r="C23" s="78">
        <f>C24+C30+C33+C37+C38</f>
        <v>1539.3039999999999</v>
      </c>
      <c r="D23" s="78">
        <f>D24+D30+D33+D37+D38</f>
        <v>365</v>
      </c>
      <c r="E23" s="78">
        <f>E24+E32+E35+E38+E37+E34+E31+E36</f>
        <v>1904.304</v>
      </c>
      <c r="F23" s="78">
        <f>F24+F32+F35+F38+F37+F34+F31+F36</f>
        <v>0</v>
      </c>
      <c r="G23" s="78">
        <f>G24+G30+G33+G37+G38</f>
        <v>148.8</v>
      </c>
      <c r="H23" s="78">
        <f>H24+H32+H35+H38+H37+H34+H31+H36</f>
        <v>277.7</v>
      </c>
      <c r="I23" s="66">
        <f t="shared" si="4"/>
        <v>0.1458275569446895</v>
      </c>
      <c r="J23" s="66">
        <f t="shared" si="5"/>
        <v>0</v>
      </c>
      <c r="K23" s="78">
        <f>K24+K30+K33+K37+K38</f>
        <v>427.4</v>
      </c>
      <c r="L23" s="66">
        <f t="shared" si="1"/>
        <v>0.6497426298549368</v>
      </c>
      <c r="M23" s="78">
        <f>M24+M30+M33+M37+M38</f>
        <v>128.89999999999998</v>
      </c>
      <c r="N23" s="78">
        <f>N24+N30+N33+N37+N38</f>
        <v>143.20000000000002</v>
      </c>
      <c r="O23" s="66">
        <f t="shared" si="10"/>
        <v>0.900139664804469</v>
      </c>
      <c r="P23" s="78">
        <f>P24+P31+P34+P37+P36+P33</f>
        <v>142.6</v>
      </c>
      <c r="Q23" s="78">
        <f>Q24+Q31+Q34+Q37+Q36+Q33</f>
        <v>218.7</v>
      </c>
      <c r="R23" s="78">
        <f>R24+R31+R34+R37+R36+R33</f>
        <v>176.1</v>
      </c>
    </row>
    <row r="24" spans="1:18" ht="18">
      <c r="A24" s="9" t="s">
        <v>74</v>
      </c>
      <c r="B24" s="30">
        <v>1110000000</v>
      </c>
      <c r="C24" s="74">
        <f aca="true" t="shared" si="11" ref="C24:H24">C25+C28+C29+C26+C27</f>
        <v>1395.3039999999999</v>
      </c>
      <c r="D24" s="74">
        <f t="shared" si="11"/>
        <v>365</v>
      </c>
      <c r="E24" s="74">
        <f t="shared" si="11"/>
        <v>1760.304</v>
      </c>
      <c r="F24" s="74">
        <f t="shared" si="11"/>
        <v>0</v>
      </c>
      <c r="G24" s="74">
        <f>G25+G28+G29+G26+G27</f>
        <v>149</v>
      </c>
      <c r="H24" s="74">
        <f t="shared" si="11"/>
        <v>272.4</v>
      </c>
      <c r="I24" s="68">
        <f t="shared" si="4"/>
        <v>0.15474599841845496</v>
      </c>
      <c r="J24" s="68">
        <f t="shared" si="5"/>
        <v>0</v>
      </c>
      <c r="K24" s="74">
        <f>K25+K28+K29+K26+K27</f>
        <v>206.1</v>
      </c>
      <c r="L24" s="68">
        <f t="shared" si="1"/>
        <v>1.3216885007278019</v>
      </c>
      <c r="M24" s="74">
        <f>M25+M28+M29+M26+M27</f>
        <v>123.39999999999999</v>
      </c>
      <c r="N24" s="74">
        <f>N25+N28+N29+N26+N27</f>
        <v>68.80000000000001</v>
      </c>
      <c r="O24" s="68">
        <f t="shared" si="10"/>
        <v>1.7936046511627903</v>
      </c>
      <c r="P24" s="74">
        <f>P25+P27+P28</f>
        <v>142.6</v>
      </c>
      <c r="Q24" s="74">
        <f>Q25+Q27+Q28</f>
        <v>218.7</v>
      </c>
      <c r="R24" s="74">
        <f>R25+R27+R28</f>
        <v>176.1</v>
      </c>
    </row>
    <row r="25" spans="1:18" ht="18.75">
      <c r="A25" s="54" t="s">
        <v>97</v>
      </c>
      <c r="B25" s="13">
        <v>1110501313</v>
      </c>
      <c r="C25" s="73">
        <v>800</v>
      </c>
      <c r="D25" s="70">
        <f>300</f>
        <v>300</v>
      </c>
      <c r="E25" s="69">
        <f aca="true" t="shared" si="12" ref="E25:E34">C25+D25</f>
        <v>1100</v>
      </c>
      <c r="F25" s="69"/>
      <c r="G25" s="73">
        <v>58.7</v>
      </c>
      <c r="H25" s="71">
        <f aca="true" t="shared" si="13" ref="H25:H37">G25+M25</f>
        <v>101.4</v>
      </c>
      <c r="I25" s="72">
        <f t="shared" si="4"/>
        <v>0.09218181818181818</v>
      </c>
      <c r="J25" s="72">
        <f t="shared" si="5"/>
        <v>0</v>
      </c>
      <c r="K25" s="73">
        <v>58.1</v>
      </c>
      <c r="L25" s="72">
        <f t="shared" si="1"/>
        <v>1.7452667814113598</v>
      </c>
      <c r="M25" s="73">
        <v>42.7</v>
      </c>
      <c r="N25" s="73">
        <v>16.1</v>
      </c>
      <c r="O25" s="72">
        <f t="shared" si="10"/>
        <v>2.652173913043478</v>
      </c>
      <c r="P25" s="61">
        <v>142.6</v>
      </c>
      <c r="Q25" s="61">
        <v>218.7</v>
      </c>
      <c r="R25" s="61">
        <v>176.1</v>
      </c>
    </row>
    <row r="26" spans="1:18" ht="18.75">
      <c r="A26" s="13" t="s">
        <v>98</v>
      </c>
      <c r="B26" s="13">
        <v>1110502513</v>
      </c>
      <c r="C26" s="73"/>
      <c r="D26" s="85"/>
      <c r="E26" s="69">
        <f t="shared" si="12"/>
        <v>0</v>
      </c>
      <c r="F26" s="69"/>
      <c r="G26" s="73"/>
      <c r="H26" s="71">
        <f>G26+M26</f>
        <v>0</v>
      </c>
      <c r="I26" s="72">
        <f>IF(E26&gt;0,H26/E26,0)</f>
        <v>0</v>
      </c>
      <c r="J26" s="72"/>
      <c r="K26" s="73"/>
      <c r="L26" s="72">
        <f t="shared" si="1"/>
        <v>0</v>
      </c>
      <c r="M26" s="73"/>
      <c r="N26" s="73"/>
      <c r="O26" s="72">
        <f t="shared" si="10"/>
        <v>0</v>
      </c>
      <c r="P26" s="61"/>
      <c r="Q26" s="61"/>
      <c r="R26" s="61"/>
    </row>
    <row r="27" spans="1:18" ht="18.75">
      <c r="A27" s="13" t="s">
        <v>116</v>
      </c>
      <c r="B27" s="13">
        <v>1110507513</v>
      </c>
      <c r="C27" s="73">
        <v>286.8</v>
      </c>
      <c r="D27" s="85">
        <v>10.24</v>
      </c>
      <c r="E27" s="69">
        <f t="shared" si="12"/>
        <v>297.04</v>
      </c>
      <c r="F27" s="69"/>
      <c r="G27" s="73">
        <v>45</v>
      </c>
      <c r="H27" s="71">
        <f>G27+M27</f>
        <v>69.8</v>
      </c>
      <c r="I27" s="72"/>
      <c r="J27" s="72"/>
      <c r="K27" s="73"/>
      <c r="L27" s="72"/>
      <c r="M27" s="73">
        <v>24.8</v>
      </c>
      <c r="N27" s="73"/>
      <c r="O27" s="72"/>
      <c r="P27" s="61"/>
      <c r="Q27" s="61"/>
      <c r="R27" s="61"/>
    </row>
    <row r="28" spans="1:18" ht="18">
      <c r="A28" s="13" t="s">
        <v>23</v>
      </c>
      <c r="B28" s="13">
        <v>1110904513</v>
      </c>
      <c r="C28" s="73">
        <v>308.504</v>
      </c>
      <c r="D28" s="85">
        <v>54.76</v>
      </c>
      <c r="E28" s="69">
        <f t="shared" si="12"/>
        <v>363.264</v>
      </c>
      <c r="F28" s="69"/>
      <c r="G28" s="73">
        <v>45.3</v>
      </c>
      <c r="H28" s="71">
        <f t="shared" si="13"/>
        <v>101.19999999999999</v>
      </c>
      <c r="I28" s="72">
        <f t="shared" si="4"/>
        <v>0.2785852713178294</v>
      </c>
      <c r="J28" s="72">
        <f t="shared" si="5"/>
        <v>0</v>
      </c>
      <c r="K28" s="73">
        <v>148</v>
      </c>
      <c r="L28" s="72">
        <f t="shared" si="1"/>
        <v>0.6837837837837837</v>
      </c>
      <c r="M28" s="73">
        <v>55.9</v>
      </c>
      <c r="N28" s="73">
        <v>52.7</v>
      </c>
      <c r="O28" s="72">
        <f t="shared" si="10"/>
        <v>1.0607210626185957</v>
      </c>
      <c r="P28" s="73"/>
      <c r="Q28" s="73"/>
      <c r="R28" s="73"/>
    </row>
    <row r="29" spans="1:18" ht="10.5" customHeight="1" hidden="1">
      <c r="A29" s="31" t="s">
        <v>18</v>
      </c>
      <c r="B29" s="13">
        <v>1110903513</v>
      </c>
      <c r="C29" s="73"/>
      <c r="D29" s="73"/>
      <c r="E29" s="69">
        <f t="shared" si="12"/>
        <v>0</v>
      </c>
      <c r="F29" s="69"/>
      <c r="G29" s="73"/>
      <c r="H29" s="71">
        <f t="shared" si="13"/>
        <v>0</v>
      </c>
      <c r="I29" s="72">
        <f t="shared" si="4"/>
        <v>0</v>
      </c>
      <c r="J29" s="72">
        <f t="shared" si="5"/>
        <v>0</v>
      </c>
      <c r="K29" s="73"/>
      <c r="L29" s="72">
        <f t="shared" si="1"/>
        <v>0</v>
      </c>
      <c r="M29" s="73"/>
      <c r="N29" s="73"/>
      <c r="O29" s="72">
        <f t="shared" si="10"/>
        <v>0</v>
      </c>
      <c r="P29" s="73"/>
      <c r="Q29" s="73"/>
      <c r="R29" s="73"/>
    </row>
    <row r="30" spans="1:18" ht="18.75">
      <c r="A30" s="149" t="s">
        <v>66</v>
      </c>
      <c r="B30" s="151">
        <v>1130000000</v>
      </c>
      <c r="C30" s="136">
        <f>C31+C32</f>
        <v>0</v>
      </c>
      <c r="D30" s="136">
        <f>D31+D32</f>
        <v>0</v>
      </c>
      <c r="E30" s="137">
        <f>C30+D30</f>
        <v>0</v>
      </c>
      <c r="F30" s="137"/>
      <c r="G30" s="136">
        <f>G31+G32</f>
        <v>0</v>
      </c>
      <c r="H30" s="150">
        <f t="shared" si="13"/>
        <v>0</v>
      </c>
      <c r="I30" s="138">
        <f t="shared" si="4"/>
        <v>0</v>
      </c>
      <c r="J30" s="138"/>
      <c r="K30" s="136">
        <f>K31+K32</f>
        <v>0</v>
      </c>
      <c r="L30" s="138">
        <f t="shared" si="1"/>
        <v>0</v>
      </c>
      <c r="M30" s="136">
        <f>M31+M32</f>
        <v>0</v>
      </c>
      <c r="N30" s="136">
        <f>N31+N32</f>
        <v>0</v>
      </c>
      <c r="O30" s="138">
        <f t="shared" si="10"/>
        <v>0</v>
      </c>
      <c r="P30" s="136">
        <f>P31+P32</f>
        <v>0</v>
      </c>
      <c r="Q30" s="136">
        <f>Q31+Q32</f>
        <v>0</v>
      </c>
      <c r="R30" s="136">
        <f>R31+R32</f>
        <v>0</v>
      </c>
    </row>
    <row r="31" spans="1:18" ht="18">
      <c r="A31" s="45" t="s">
        <v>103</v>
      </c>
      <c r="B31" s="15">
        <v>1130206513</v>
      </c>
      <c r="C31" s="145"/>
      <c r="D31" s="145"/>
      <c r="E31" s="146">
        <f t="shared" si="12"/>
        <v>0</v>
      </c>
      <c r="F31" s="146"/>
      <c r="G31" s="145"/>
      <c r="H31" s="147">
        <f t="shared" si="13"/>
        <v>0</v>
      </c>
      <c r="I31" s="148">
        <f t="shared" si="4"/>
        <v>0</v>
      </c>
      <c r="J31" s="148"/>
      <c r="K31" s="145"/>
      <c r="L31" s="148">
        <f t="shared" si="1"/>
        <v>0</v>
      </c>
      <c r="M31" s="145"/>
      <c r="N31" s="145"/>
      <c r="O31" s="148">
        <f t="shared" si="10"/>
        <v>0</v>
      </c>
      <c r="P31" s="145"/>
      <c r="Q31" s="145"/>
      <c r="R31" s="145"/>
    </row>
    <row r="32" spans="1:18" ht="18">
      <c r="A32" s="15" t="s">
        <v>38</v>
      </c>
      <c r="B32" s="15">
        <v>1130299513</v>
      </c>
      <c r="C32" s="145"/>
      <c r="D32" s="145"/>
      <c r="E32" s="146">
        <f t="shared" si="12"/>
        <v>0</v>
      </c>
      <c r="F32" s="146"/>
      <c r="G32" s="145"/>
      <c r="H32" s="147">
        <f t="shared" si="13"/>
        <v>0</v>
      </c>
      <c r="I32" s="148">
        <f t="shared" si="4"/>
        <v>0</v>
      </c>
      <c r="J32" s="148">
        <f t="shared" si="5"/>
        <v>0</v>
      </c>
      <c r="K32" s="145"/>
      <c r="L32" s="148">
        <f t="shared" si="1"/>
        <v>0</v>
      </c>
      <c r="M32" s="145"/>
      <c r="N32" s="145"/>
      <c r="O32" s="148">
        <f t="shared" si="10"/>
        <v>0</v>
      </c>
      <c r="P32" s="145"/>
      <c r="Q32" s="145"/>
      <c r="R32" s="145"/>
    </row>
    <row r="33" spans="1:18" ht="18.75">
      <c r="A33" s="149" t="s">
        <v>67</v>
      </c>
      <c r="B33" s="151">
        <v>1140000000</v>
      </c>
      <c r="C33" s="154">
        <f>C34+C35+C36</f>
        <v>125</v>
      </c>
      <c r="D33" s="154">
        <f>D34+D35+D36</f>
        <v>0</v>
      </c>
      <c r="E33" s="137">
        <f t="shared" si="12"/>
        <v>125</v>
      </c>
      <c r="F33" s="137"/>
      <c r="G33" s="154">
        <f>G34+G35+G36</f>
        <v>-0.20000000000000018</v>
      </c>
      <c r="H33" s="150">
        <f t="shared" si="13"/>
        <v>5.2</v>
      </c>
      <c r="I33" s="138">
        <f>IF(E33&gt;0,H33/E33,0)</f>
        <v>0.0416</v>
      </c>
      <c r="J33" s="138"/>
      <c r="K33" s="154">
        <f>K34+K35+K36</f>
        <v>201.7</v>
      </c>
      <c r="L33" s="138">
        <f>IF(K33&gt;0,H33/K33,0)</f>
        <v>0.025780862667327716</v>
      </c>
      <c r="M33" s="154">
        <f>M34+M35+M36</f>
        <v>5.4</v>
      </c>
      <c r="N33" s="154">
        <f>N34+N35+N36</f>
        <v>71.4</v>
      </c>
      <c r="O33" s="138">
        <f t="shared" si="10"/>
        <v>0.07563025210084033</v>
      </c>
      <c r="P33" s="154">
        <f>P34+P35+P36</f>
        <v>0</v>
      </c>
      <c r="Q33" s="154">
        <f>Q34+Q35+Q36</f>
        <v>0</v>
      </c>
      <c r="R33" s="154">
        <f>R34+R35+R36</f>
        <v>0</v>
      </c>
    </row>
    <row r="34" spans="1:18" ht="18">
      <c r="A34" s="15" t="s">
        <v>75</v>
      </c>
      <c r="B34" s="15">
        <v>1140205313</v>
      </c>
      <c r="C34" s="145">
        <v>100</v>
      </c>
      <c r="D34" s="145"/>
      <c r="E34" s="146">
        <f t="shared" si="12"/>
        <v>100</v>
      </c>
      <c r="F34" s="146"/>
      <c r="G34" s="145">
        <v>-1.6</v>
      </c>
      <c r="H34" s="147">
        <f t="shared" si="13"/>
        <v>-1.6</v>
      </c>
      <c r="I34" s="148">
        <f>IF(E34&gt;0,H34/E34,0)</f>
        <v>-0.016</v>
      </c>
      <c r="J34" s="148">
        <f>IF(F34&gt;0,H34/F34,0)</f>
        <v>0</v>
      </c>
      <c r="K34" s="145">
        <v>168.6</v>
      </c>
      <c r="L34" s="148">
        <f>IF(K34&gt;0,H34/K34,0)</f>
        <v>-0.009489916963226572</v>
      </c>
      <c r="M34" s="145"/>
      <c r="N34" s="145">
        <v>38.6</v>
      </c>
      <c r="O34" s="148">
        <f t="shared" si="10"/>
        <v>0</v>
      </c>
      <c r="P34" s="145"/>
      <c r="Q34" s="145"/>
      <c r="R34" s="145"/>
    </row>
    <row r="35" spans="1:18" ht="18">
      <c r="A35" s="15" t="s">
        <v>104</v>
      </c>
      <c r="B35" s="15">
        <v>1140601313</v>
      </c>
      <c r="C35" s="145">
        <v>25</v>
      </c>
      <c r="D35" s="145"/>
      <c r="E35" s="147">
        <f>C35+D35</f>
        <v>25</v>
      </c>
      <c r="F35" s="147"/>
      <c r="G35" s="145">
        <v>1.4</v>
      </c>
      <c r="H35" s="147">
        <f t="shared" si="13"/>
        <v>6.800000000000001</v>
      </c>
      <c r="I35" s="148">
        <f t="shared" si="4"/>
        <v>0.272</v>
      </c>
      <c r="J35" s="148">
        <f t="shared" si="5"/>
        <v>0</v>
      </c>
      <c r="K35" s="145">
        <v>8.5</v>
      </c>
      <c r="L35" s="148">
        <f t="shared" si="1"/>
        <v>0.8</v>
      </c>
      <c r="M35" s="145">
        <v>5.4</v>
      </c>
      <c r="N35" s="145">
        <v>8.2</v>
      </c>
      <c r="O35" s="148">
        <f t="shared" si="10"/>
        <v>0.6585365853658538</v>
      </c>
      <c r="P35" s="145"/>
      <c r="Q35" s="145"/>
      <c r="R35" s="145"/>
    </row>
    <row r="36" spans="1:18" ht="18">
      <c r="A36" s="15" t="s">
        <v>105</v>
      </c>
      <c r="B36" s="153">
        <v>1140602513</v>
      </c>
      <c r="C36" s="152"/>
      <c r="D36" s="145"/>
      <c r="E36" s="147">
        <f>C36+D36</f>
        <v>0</v>
      </c>
      <c r="F36" s="147"/>
      <c r="G36" s="145"/>
      <c r="H36" s="147">
        <f t="shared" si="13"/>
        <v>0</v>
      </c>
      <c r="I36" s="148">
        <f t="shared" si="4"/>
        <v>0</v>
      </c>
      <c r="J36" s="148">
        <f t="shared" si="5"/>
        <v>0</v>
      </c>
      <c r="K36" s="145">
        <v>24.6</v>
      </c>
      <c r="L36" s="148">
        <f t="shared" si="1"/>
        <v>0</v>
      </c>
      <c r="M36" s="145"/>
      <c r="N36" s="145">
        <v>24.6</v>
      </c>
      <c r="O36" s="148">
        <f t="shared" si="10"/>
        <v>0</v>
      </c>
      <c r="P36" s="145"/>
      <c r="Q36" s="145"/>
      <c r="R36" s="145"/>
    </row>
    <row r="37" spans="1:18" ht="18">
      <c r="A37" s="9" t="s">
        <v>77</v>
      </c>
      <c r="B37" s="55">
        <v>1160000000</v>
      </c>
      <c r="C37" s="74">
        <v>19</v>
      </c>
      <c r="D37" s="74"/>
      <c r="E37" s="87">
        <f>C37+D37</f>
        <v>19</v>
      </c>
      <c r="F37" s="77"/>
      <c r="G37" s="74"/>
      <c r="H37" s="77">
        <f t="shared" si="13"/>
        <v>0.1</v>
      </c>
      <c r="I37" s="68">
        <f t="shared" si="4"/>
        <v>0.005263157894736842</v>
      </c>
      <c r="J37" s="68">
        <f t="shared" si="5"/>
        <v>0</v>
      </c>
      <c r="K37" s="74">
        <v>19.6</v>
      </c>
      <c r="L37" s="68">
        <f t="shared" si="1"/>
        <v>0.00510204081632653</v>
      </c>
      <c r="M37" s="74">
        <v>0.1</v>
      </c>
      <c r="N37" s="74">
        <v>3</v>
      </c>
      <c r="O37" s="68">
        <f t="shared" si="10"/>
        <v>0.03333333333333333</v>
      </c>
      <c r="P37" s="74"/>
      <c r="Q37" s="74"/>
      <c r="R37" s="74"/>
    </row>
    <row r="38" spans="1:18" ht="18">
      <c r="A38" s="9" t="s">
        <v>69</v>
      </c>
      <c r="B38" s="30">
        <v>1170000000</v>
      </c>
      <c r="C38" s="74">
        <f>SUM(C39:C40)</f>
        <v>0</v>
      </c>
      <c r="D38" s="74">
        <f aca="true" t="shared" si="14" ref="D38:R38">SUM(D39:D40)</f>
        <v>0</v>
      </c>
      <c r="E38" s="74">
        <f t="shared" si="14"/>
        <v>0</v>
      </c>
      <c r="F38" s="74">
        <f t="shared" si="14"/>
        <v>0</v>
      </c>
      <c r="G38" s="74">
        <f>SUM(G39:G40)</f>
        <v>0</v>
      </c>
      <c r="H38" s="74">
        <f t="shared" si="14"/>
        <v>0</v>
      </c>
      <c r="I38" s="68">
        <f t="shared" si="4"/>
        <v>0</v>
      </c>
      <c r="J38" s="68">
        <f t="shared" si="5"/>
        <v>0</v>
      </c>
      <c r="K38" s="74">
        <f>SUM(K39:K40)</f>
        <v>0</v>
      </c>
      <c r="L38" s="68">
        <f t="shared" si="1"/>
        <v>0</v>
      </c>
      <c r="M38" s="74">
        <f>SUM(M39:M40)</f>
        <v>0</v>
      </c>
      <c r="N38" s="74">
        <f>SUM(N39:N40)</f>
        <v>0</v>
      </c>
      <c r="O38" s="74">
        <f t="shared" si="14"/>
        <v>0</v>
      </c>
      <c r="P38" s="74">
        <f t="shared" si="14"/>
        <v>0</v>
      </c>
      <c r="Q38" s="74">
        <f>SUM(Q39:Q40)</f>
        <v>0</v>
      </c>
      <c r="R38" s="74">
        <f t="shared" si="14"/>
        <v>0</v>
      </c>
    </row>
    <row r="39" spans="1:18" ht="18">
      <c r="A39" s="13" t="s">
        <v>8</v>
      </c>
      <c r="B39" s="13">
        <v>1170103003</v>
      </c>
      <c r="C39" s="73"/>
      <c r="D39" s="73"/>
      <c r="E39" s="69">
        <f>C39+D39</f>
        <v>0</v>
      </c>
      <c r="F39" s="69"/>
      <c r="G39" s="73"/>
      <c r="H39" s="70">
        <f>G39+M39</f>
        <v>0</v>
      </c>
      <c r="I39" s="72">
        <f t="shared" si="4"/>
        <v>0</v>
      </c>
      <c r="J39" s="72">
        <f t="shared" si="5"/>
        <v>0</v>
      </c>
      <c r="K39" s="73"/>
      <c r="L39" s="72">
        <f t="shared" si="1"/>
        <v>0</v>
      </c>
      <c r="M39" s="73"/>
      <c r="N39" s="73"/>
      <c r="O39" s="72">
        <f aca="true" t="shared" si="15" ref="O39:O47">IF(N39&gt;0,M39/N39,0)</f>
        <v>0</v>
      </c>
      <c r="P39" s="79"/>
      <c r="Q39" s="79"/>
      <c r="R39" s="79"/>
    </row>
    <row r="40" spans="1:18" ht="18">
      <c r="A40" s="13" t="s">
        <v>33</v>
      </c>
      <c r="B40" s="13">
        <v>1170505013</v>
      </c>
      <c r="C40" s="73"/>
      <c r="D40" s="70"/>
      <c r="E40" s="69">
        <f>C40+D40</f>
        <v>0</v>
      </c>
      <c r="F40" s="69"/>
      <c r="G40" s="73"/>
      <c r="H40" s="71">
        <f>G40+M40</f>
        <v>0</v>
      </c>
      <c r="I40" s="72">
        <f>IF(E40&gt;0,H40/E40,0)</f>
        <v>0</v>
      </c>
      <c r="J40" s="72">
        <f>IF(F40&gt;0,H40/F40,0)</f>
        <v>0</v>
      </c>
      <c r="K40" s="73"/>
      <c r="L40" s="72">
        <f>IF(K40&gt;0,H40/K40,0)</f>
        <v>0</v>
      </c>
      <c r="M40" s="73"/>
      <c r="N40" s="73"/>
      <c r="O40" s="72">
        <f t="shared" si="15"/>
        <v>0</v>
      </c>
      <c r="P40" s="73"/>
      <c r="Q40" s="73"/>
      <c r="R40" s="73"/>
    </row>
    <row r="41" spans="1:18" ht="18">
      <c r="A41" s="9" t="s">
        <v>6</v>
      </c>
      <c r="B41" s="9">
        <v>1000000000</v>
      </c>
      <c r="C41" s="80">
        <f aca="true" t="shared" si="16" ref="C41:H41">C5+C23</f>
        <v>9014.094000000001</v>
      </c>
      <c r="D41" s="80">
        <f t="shared" si="16"/>
        <v>690.5</v>
      </c>
      <c r="E41" s="80">
        <f t="shared" si="16"/>
        <v>9704.594000000001</v>
      </c>
      <c r="F41" s="81">
        <f t="shared" si="16"/>
        <v>0</v>
      </c>
      <c r="G41" s="81">
        <f>G5+G23</f>
        <v>1266.6</v>
      </c>
      <c r="H41" s="81">
        <f t="shared" si="16"/>
        <v>2006.3</v>
      </c>
      <c r="I41" s="82">
        <f t="shared" si="4"/>
        <v>0.20673713913225011</v>
      </c>
      <c r="J41" s="82">
        <f t="shared" si="5"/>
        <v>0</v>
      </c>
      <c r="K41" s="81">
        <f>K5+K23</f>
        <v>1970.3999999999996</v>
      </c>
      <c r="L41" s="82">
        <f t="shared" si="1"/>
        <v>1.0182196508323185</v>
      </c>
      <c r="M41" s="81">
        <f>M5+M23</f>
        <v>739.6999999999999</v>
      </c>
      <c r="N41" s="81">
        <f>N5+N23</f>
        <v>697.2</v>
      </c>
      <c r="O41" s="82">
        <f t="shared" si="15"/>
        <v>1.0609581181870338</v>
      </c>
      <c r="P41" s="81">
        <f>P5+P23</f>
        <v>1077.7</v>
      </c>
      <c r="Q41" s="81">
        <f>Q5+Q23</f>
        <v>1147.1</v>
      </c>
      <c r="R41" s="125">
        <f>R5+R23</f>
        <v>1048.1</v>
      </c>
    </row>
    <row r="42" spans="1:18" ht="18">
      <c r="A42" s="9" t="s">
        <v>92</v>
      </c>
      <c r="B42" s="9"/>
      <c r="C42" s="80">
        <f aca="true" t="shared" si="17" ref="C42:H42">C41-C10</f>
        <v>7842.704000000001</v>
      </c>
      <c r="D42" s="80">
        <f t="shared" si="17"/>
        <v>690.5</v>
      </c>
      <c r="E42" s="80">
        <f t="shared" si="17"/>
        <v>8533.204000000002</v>
      </c>
      <c r="F42" s="81">
        <f t="shared" si="17"/>
        <v>0</v>
      </c>
      <c r="G42" s="81">
        <f>G41-G10</f>
        <v>1030.3999999999999</v>
      </c>
      <c r="H42" s="81">
        <f t="shared" si="17"/>
        <v>1666</v>
      </c>
      <c r="I42" s="82">
        <f>IF(E42&gt;0,H42/E42,0)</f>
        <v>0.1952373340658444</v>
      </c>
      <c r="J42" s="82">
        <f>IF(F42&gt;0,H42/F42,0)</f>
        <v>0</v>
      </c>
      <c r="K42" s="81">
        <f>K41-K10</f>
        <v>1700.7999999999997</v>
      </c>
      <c r="L42" s="82">
        <f t="shared" si="1"/>
        <v>0.9795390404515524</v>
      </c>
      <c r="M42" s="81">
        <f>M41-M10</f>
        <v>635.5999999999999</v>
      </c>
      <c r="N42" s="81">
        <f>N41-N10</f>
        <v>553.5</v>
      </c>
      <c r="O42" s="82">
        <f t="shared" si="15"/>
        <v>1.1483288166214993</v>
      </c>
      <c r="P42" s="81"/>
      <c r="Q42" s="81"/>
      <c r="R42" s="125"/>
    </row>
    <row r="43" spans="1:18" ht="18">
      <c r="A43" s="13" t="s">
        <v>36</v>
      </c>
      <c r="B43" s="13">
        <v>2000000000</v>
      </c>
      <c r="C43" s="85">
        <v>9761.5</v>
      </c>
      <c r="D43" s="85"/>
      <c r="E43" s="83">
        <f>C43+D43</f>
        <v>9761.5</v>
      </c>
      <c r="F43" s="69"/>
      <c r="G43" s="73"/>
      <c r="H43" s="70">
        <f>G43+M43</f>
        <v>0</v>
      </c>
      <c r="I43" s="72">
        <f t="shared" si="4"/>
        <v>0</v>
      </c>
      <c r="J43" s="72">
        <f t="shared" si="5"/>
        <v>0</v>
      </c>
      <c r="K43" s="73">
        <v>0.3</v>
      </c>
      <c r="L43" s="72">
        <f t="shared" si="1"/>
        <v>0</v>
      </c>
      <c r="M43" s="73"/>
      <c r="N43" s="73"/>
      <c r="O43" s="72">
        <f t="shared" si="15"/>
        <v>0</v>
      </c>
      <c r="P43" s="73"/>
      <c r="Q43" s="73"/>
      <c r="R43" s="73"/>
    </row>
    <row r="44" spans="1:18" ht="18">
      <c r="A44" s="13" t="s">
        <v>46</v>
      </c>
      <c r="B44" s="34" t="s">
        <v>95</v>
      </c>
      <c r="C44" s="73"/>
      <c r="D44" s="85">
        <v>363.202</v>
      </c>
      <c r="E44" s="69">
        <f>C44+D44</f>
        <v>363.202</v>
      </c>
      <c r="F44" s="69"/>
      <c r="G44" s="73"/>
      <c r="H44" s="70">
        <f>G44+M44</f>
        <v>40</v>
      </c>
      <c r="I44" s="72">
        <f>IF(E44&gt;0,H44/E44,0)</f>
        <v>0.11013155213903007</v>
      </c>
      <c r="J44" s="72">
        <f>IF(F44&gt;0,H44/F44,0)</f>
        <v>0</v>
      </c>
      <c r="K44" s="73">
        <v>75</v>
      </c>
      <c r="L44" s="72">
        <f t="shared" si="1"/>
        <v>0.5333333333333333</v>
      </c>
      <c r="M44" s="73">
        <v>40</v>
      </c>
      <c r="N44" s="73">
        <v>75</v>
      </c>
      <c r="O44" s="72">
        <f t="shared" si="15"/>
        <v>0.5333333333333333</v>
      </c>
      <c r="P44" s="73"/>
      <c r="Q44" s="73"/>
      <c r="R44" s="73"/>
    </row>
    <row r="45" spans="1:18" ht="18">
      <c r="A45" s="8" t="s">
        <v>108</v>
      </c>
      <c r="B45" s="162" t="s">
        <v>117</v>
      </c>
      <c r="C45" s="73"/>
      <c r="D45" s="85"/>
      <c r="E45" s="69">
        <f>C45+D45</f>
        <v>0</v>
      </c>
      <c r="F45" s="69"/>
      <c r="G45" s="70">
        <v>48.825</v>
      </c>
      <c r="H45" s="70">
        <f>G45+M45</f>
        <v>48.825</v>
      </c>
      <c r="I45" s="72">
        <f>IF(E45&gt;0,H45/E45,0)</f>
        <v>0</v>
      </c>
      <c r="J45" s="72"/>
      <c r="K45" s="73"/>
      <c r="L45" s="72"/>
      <c r="M45" s="70"/>
      <c r="N45" s="73"/>
      <c r="O45" s="72"/>
      <c r="P45" s="73"/>
      <c r="Q45" s="73"/>
      <c r="R45" s="73"/>
    </row>
    <row r="46" spans="1:18" ht="18" hidden="1">
      <c r="A46" s="8" t="s">
        <v>93</v>
      </c>
      <c r="B46" s="46" t="s">
        <v>107</v>
      </c>
      <c r="C46" s="73"/>
      <c r="D46" s="84"/>
      <c r="E46" s="69">
        <f>C46+D46</f>
        <v>0</v>
      </c>
      <c r="F46" s="69"/>
      <c r="G46" s="73"/>
      <c r="H46" s="70">
        <f>G46+M46</f>
        <v>0</v>
      </c>
      <c r="I46" s="72"/>
      <c r="J46" s="72"/>
      <c r="K46" s="73"/>
      <c r="L46" s="72"/>
      <c r="M46" s="73"/>
      <c r="N46" s="73"/>
      <c r="O46" s="72"/>
      <c r="P46" s="73"/>
      <c r="Q46" s="73"/>
      <c r="R46" s="73"/>
    </row>
    <row r="47" spans="1:18" ht="18">
      <c r="A47" s="9" t="s">
        <v>2</v>
      </c>
      <c r="B47" s="9"/>
      <c r="C47" s="80">
        <f>C41+C43+C44</f>
        <v>18775.594</v>
      </c>
      <c r="D47" s="80">
        <f>D41+D43+D44+D46+D45</f>
        <v>1053.702</v>
      </c>
      <c r="E47" s="80">
        <f>E41+E43+E44+E46+E45</f>
        <v>19829.296000000002</v>
      </c>
      <c r="F47" s="81">
        <f>F41+F43+F44</f>
        <v>0</v>
      </c>
      <c r="G47" s="81">
        <f>G41+G43+G44+G46+G45</f>
        <v>1315.425</v>
      </c>
      <c r="H47" s="81">
        <f>H41+H43+H44+H46+H45</f>
        <v>2095.125</v>
      </c>
      <c r="I47" s="82">
        <f t="shared" si="4"/>
        <v>0.10565806269672912</v>
      </c>
      <c r="J47" s="82">
        <f t="shared" si="5"/>
        <v>0</v>
      </c>
      <c r="K47" s="81">
        <f>K41+K43+K44+K46</f>
        <v>2045.6999999999996</v>
      </c>
      <c r="L47" s="82">
        <f t="shared" si="1"/>
        <v>1.0241604340812438</v>
      </c>
      <c r="M47" s="81">
        <f>M41+M43+M44+M46+M45</f>
        <v>779.6999999999999</v>
      </c>
      <c r="N47" s="81">
        <f>N41+N43+N44+N46</f>
        <v>772.2</v>
      </c>
      <c r="O47" s="82">
        <f t="shared" si="15"/>
        <v>1.0097125097125095</v>
      </c>
      <c r="P47" s="81">
        <f>P41+P43+P44</f>
        <v>1077.7</v>
      </c>
      <c r="Q47" s="81">
        <f>Q41+Q43+Q44</f>
        <v>1147.1</v>
      </c>
      <c r="R47" s="81">
        <f>R41+R43+R44</f>
        <v>1048.1</v>
      </c>
    </row>
  </sheetData>
  <sheetProtection/>
  <mergeCells count="15"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1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1" t="s">
        <v>126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ht="18" customHeight="1">
      <c r="A3" s="176" t="s">
        <v>3</v>
      </c>
      <c r="B3" s="168" t="s">
        <v>4</v>
      </c>
      <c r="C3" s="168" t="s">
        <v>112</v>
      </c>
      <c r="D3" s="168" t="s">
        <v>24</v>
      </c>
      <c r="E3" s="168" t="s">
        <v>113</v>
      </c>
      <c r="F3" s="168" t="s">
        <v>99</v>
      </c>
      <c r="G3" s="168" t="s">
        <v>118</v>
      </c>
      <c r="H3" s="168" t="s">
        <v>114</v>
      </c>
      <c r="I3" s="168"/>
      <c r="J3" s="168"/>
      <c r="K3" s="168" t="s">
        <v>111</v>
      </c>
      <c r="L3" s="168"/>
      <c r="M3" s="168" t="s">
        <v>121</v>
      </c>
      <c r="N3" s="168" t="s">
        <v>122</v>
      </c>
      <c r="O3" s="168" t="s">
        <v>30</v>
      </c>
      <c r="P3" s="168" t="s">
        <v>9</v>
      </c>
      <c r="Q3" s="168"/>
      <c r="R3" s="168"/>
    </row>
    <row r="4" spans="1:18" ht="98.25" customHeight="1">
      <c r="A4" s="177"/>
      <c r="B4" s="178"/>
      <c r="C4" s="168"/>
      <c r="D4" s="168"/>
      <c r="E4" s="168"/>
      <c r="F4" s="168"/>
      <c r="G4" s="168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8"/>
      <c r="N4" s="168"/>
      <c r="O4" s="168"/>
      <c r="P4" s="124" t="s">
        <v>115</v>
      </c>
      <c r="Q4" s="124" t="s">
        <v>119</v>
      </c>
      <c r="R4" s="124" t="s">
        <v>123</v>
      </c>
    </row>
    <row r="5" spans="1:18" ht="21" customHeight="1">
      <c r="A5" s="51" t="s">
        <v>21</v>
      </c>
      <c r="B5" s="52"/>
      <c r="C5" s="86">
        <f aca="true" t="shared" si="0" ref="C5:H5">C6+C15+C17+C22+C23+C10</f>
        <v>666.9</v>
      </c>
      <c r="D5" s="86">
        <f t="shared" si="0"/>
        <v>60</v>
      </c>
      <c r="E5" s="86">
        <f t="shared" si="0"/>
        <v>726.9</v>
      </c>
      <c r="F5" s="86" t="e">
        <f t="shared" si="0"/>
        <v>#REF!</v>
      </c>
      <c r="G5" s="86">
        <f t="shared" si="0"/>
        <v>127.10000000000001</v>
      </c>
      <c r="H5" s="86">
        <f t="shared" si="0"/>
        <v>182.4</v>
      </c>
      <c r="I5" s="66">
        <f aca="true" t="shared" si="1" ref="I5:I39">IF(E5&gt;0,H5/E5,0)</f>
        <v>0.25092860090796537</v>
      </c>
      <c r="J5" s="66" t="e">
        <f>IF(F5&gt;0,H5/F5,0)</f>
        <v>#REF!</v>
      </c>
      <c r="K5" s="86">
        <f>K6+K15+K17+K22+K23+K10</f>
        <v>150.4</v>
      </c>
      <c r="L5" s="66">
        <f>IF(K5&gt;0,H5/K5,0)</f>
        <v>1.2127659574468086</v>
      </c>
      <c r="M5" s="86">
        <f>M6+M15+M17+M22+M23+M10</f>
        <v>55.300000000000004</v>
      </c>
      <c r="N5" s="86">
        <f>N6+N15+N17+N22+N23+N10</f>
        <v>61.599999999999994</v>
      </c>
      <c r="O5" s="66">
        <f aca="true" t="shared" si="2" ref="O5:O31">IF(N5&gt;0,M5/N5,0)</f>
        <v>0.8977272727272729</v>
      </c>
      <c r="P5" s="86">
        <f>P6+P15+P17+P22+P23+P10</f>
        <v>27.6</v>
      </c>
      <c r="Q5" s="86">
        <f>Q6+Q15+Q17+Q22+Q23+Q10</f>
        <v>28.1</v>
      </c>
      <c r="R5" s="86">
        <f>R6+R15+R17+R22+R23+R10</f>
        <v>27.900000000000002</v>
      </c>
    </row>
    <row r="6" spans="1:18" ht="16.5" customHeight="1">
      <c r="A6" s="9" t="s">
        <v>63</v>
      </c>
      <c r="B6" s="53">
        <v>1010200001</v>
      </c>
      <c r="C6" s="87">
        <f>C7+C8+C9</f>
        <v>305.79999999999995</v>
      </c>
      <c r="D6" s="87">
        <f>D7+D8+D9</f>
        <v>60</v>
      </c>
      <c r="E6" s="87">
        <f>E7+E8+E9</f>
        <v>365.79999999999995</v>
      </c>
      <c r="F6" s="87" t="e">
        <f>F7+F8+F9+#REF!</f>
        <v>#REF!</v>
      </c>
      <c r="G6" s="87">
        <f>G7+G8+G9</f>
        <v>71.2</v>
      </c>
      <c r="H6" s="87">
        <f>H7+H8+H9</f>
        <v>103.4</v>
      </c>
      <c r="I6" s="68">
        <f t="shared" si="1"/>
        <v>0.2826681246582833</v>
      </c>
      <c r="J6" s="68" t="e">
        <f>IF(F6&gt;0,H6/F6,0)</f>
        <v>#REF!</v>
      </c>
      <c r="K6" s="87">
        <f>K7+K8+K9</f>
        <v>85.7</v>
      </c>
      <c r="L6" s="68">
        <f aca="true" t="shared" si="3" ref="L6:L39">IF(K6&gt;0,H6/K6,0)</f>
        <v>1.206534422403734</v>
      </c>
      <c r="M6" s="87">
        <f>M7+M8+M9</f>
        <v>32.2</v>
      </c>
      <c r="N6" s="87">
        <f>N7+N8+N9</f>
        <v>29</v>
      </c>
      <c r="O6" s="68">
        <f t="shared" si="2"/>
        <v>1.110344827586207</v>
      </c>
      <c r="P6" s="87">
        <f>P7+P8+P9</f>
        <v>1.3</v>
      </c>
      <c r="Q6" s="87">
        <f>Q7+Q8+Q9</f>
        <v>2.5</v>
      </c>
      <c r="R6" s="87">
        <f>R7+R8+R9</f>
        <v>2.5</v>
      </c>
    </row>
    <row r="7" spans="1:18" ht="18">
      <c r="A7" s="10" t="s">
        <v>44</v>
      </c>
      <c r="B7" s="13">
        <v>1010201001</v>
      </c>
      <c r="C7" s="73">
        <v>304.4</v>
      </c>
      <c r="D7" s="70">
        <v>60</v>
      </c>
      <c r="E7" s="69">
        <f>C7+D7</f>
        <v>364.4</v>
      </c>
      <c r="F7" s="69"/>
      <c r="G7" s="70">
        <v>71.2</v>
      </c>
      <c r="H7" s="71">
        <f>G7+M7</f>
        <v>103.4</v>
      </c>
      <c r="I7" s="72">
        <f t="shared" si="1"/>
        <v>0.2837541163556532</v>
      </c>
      <c r="J7" s="72">
        <f aca="true" t="shared" si="4" ref="J7:J39">IF(F7&gt;0,H7/F7,0)</f>
        <v>0</v>
      </c>
      <c r="K7" s="70">
        <v>84.9</v>
      </c>
      <c r="L7" s="72">
        <f t="shared" si="3"/>
        <v>1.2179034157832744</v>
      </c>
      <c r="M7" s="70">
        <v>32.2</v>
      </c>
      <c r="N7" s="70">
        <v>28.2</v>
      </c>
      <c r="O7" s="72">
        <f t="shared" si="2"/>
        <v>1.1418439716312059</v>
      </c>
      <c r="P7" s="73">
        <v>0.3</v>
      </c>
      <c r="Q7" s="73">
        <v>1.5</v>
      </c>
      <c r="R7" s="73">
        <v>1.5</v>
      </c>
    </row>
    <row r="8" spans="1:18" ht="18">
      <c r="A8" s="10" t="s">
        <v>43</v>
      </c>
      <c r="B8" s="13">
        <v>1010202001</v>
      </c>
      <c r="C8" s="73"/>
      <c r="D8" s="70"/>
      <c r="E8" s="69">
        <f>C8+D8</f>
        <v>0</v>
      </c>
      <c r="F8" s="69"/>
      <c r="G8" s="73"/>
      <c r="H8" s="71">
        <f>G8+M8</f>
        <v>0</v>
      </c>
      <c r="I8" s="72">
        <f t="shared" si="1"/>
        <v>0</v>
      </c>
      <c r="J8" s="72">
        <f t="shared" si="4"/>
        <v>0</v>
      </c>
      <c r="K8" s="73"/>
      <c r="L8" s="72">
        <f>IF(K8&gt;0,H8/K8,0)</f>
        <v>0</v>
      </c>
      <c r="M8" s="73"/>
      <c r="N8" s="73"/>
      <c r="O8" s="72">
        <f>IF(N8&gt;0,M8/N8,0)</f>
        <v>0</v>
      </c>
      <c r="P8" s="69"/>
      <c r="Q8" s="69"/>
      <c r="R8" s="69"/>
    </row>
    <row r="9" spans="1:18" ht="21" customHeight="1">
      <c r="A9" s="10" t="s">
        <v>42</v>
      </c>
      <c r="B9" s="13">
        <v>1010203001</v>
      </c>
      <c r="C9" s="73">
        <v>1.4</v>
      </c>
      <c r="D9" s="73"/>
      <c r="E9" s="69">
        <f>C9+D9</f>
        <v>1.4</v>
      </c>
      <c r="F9" s="69"/>
      <c r="G9" s="73"/>
      <c r="H9" s="71">
        <f>G9+M9</f>
        <v>0</v>
      </c>
      <c r="I9" s="72">
        <f t="shared" si="1"/>
        <v>0</v>
      </c>
      <c r="J9" s="72">
        <f t="shared" si="4"/>
        <v>0</v>
      </c>
      <c r="K9" s="73">
        <v>0.8</v>
      </c>
      <c r="L9" s="72">
        <f t="shared" si="3"/>
        <v>0</v>
      </c>
      <c r="M9" s="73"/>
      <c r="N9" s="73">
        <v>0.8</v>
      </c>
      <c r="O9" s="72">
        <f t="shared" si="2"/>
        <v>0</v>
      </c>
      <c r="P9" s="73">
        <v>1</v>
      </c>
      <c r="Q9" s="73">
        <v>1</v>
      </c>
      <c r="R9" s="73">
        <v>1</v>
      </c>
    </row>
    <row r="10" spans="1:18" ht="30" customHeight="1">
      <c r="A10" s="11" t="s">
        <v>48</v>
      </c>
      <c r="B10" s="19">
        <v>1030200001</v>
      </c>
      <c r="C10" s="74">
        <f aca="true" t="shared" si="5" ref="C10:H10">SUM(C11:C14)</f>
        <v>256.1</v>
      </c>
      <c r="D10" s="74">
        <f t="shared" si="5"/>
        <v>0</v>
      </c>
      <c r="E10" s="74">
        <f t="shared" si="5"/>
        <v>256.1</v>
      </c>
      <c r="F10" s="74"/>
      <c r="G10" s="74">
        <f>SUM(G11:G14)</f>
        <v>51.900000000000006</v>
      </c>
      <c r="H10" s="74">
        <f t="shared" si="5"/>
        <v>74.6</v>
      </c>
      <c r="I10" s="68">
        <f t="shared" si="1"/>
        <v>0.2912924638812963</v>
      </c>
      <c r="J10" s="68">
        <f>IF(F10&gt;0,H10/F10,0)</f>
        <v>0</v>
      </c>
      <c r="K10" s="74">
        <f>SUM(K11:K14)</f>
        <v>58.9</v>
      </c>
      <c r="L10" s="68">
        <f t="shared" si="3"/>
        <v>1.266553480475382</v>
      </c>
      <c r="M10" s="74">
        <f>SUM(M11:M14)</f>
        <v>22.700000000000003</v>
      </c>
      <c r="N10" s="74">
        <f>SUM(N11:N14)</f>
        <v>31.399999999999995</v>
      </c>
      <c r="O10" s="68">
        <f t="shared" si="2"/>
        <v>0.7229299363057327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22.5" customHeight="1">
      <c r="A11" s="12" t="s">
        <v>49</v>
      </c>
      <c r="B11" s="12">
        <v>1030223101</v>
      </c>
      <c r="C11" s="73">
        <v>95.3</v>
      </c>
      <c r="D11" s="73"/>
      <c r="E11" s="69">
        <f>C11+D11</f>
        <v>95.3</v>
      </c>
      <c r="F11" s="69"/>
      <c r="G11" s="73">
        <v>23</v>
      </c>
      <c r="H11" s="71">
        <f>G11+M11</f>
        <v>32.8</v>
      </c>
      <c r="I11" s="72">
        <f t="shared" si="1"/>
        <v>0.3441762854144806</v>
      </c>
      <c r="J11" s="72">
        <f>IF(F11&gt;0,H11/F11,0)</f>
        <v>0</v>
      </c>
      <c r="K11" s="73">
        <v>24.2</v>
      </c>
      <c r="L11" s="72">
        <f t="shared" si="3"/>
        <v>1.3553719008264462</v>
      </c>
      <c r="M11" s="73">
        <v>9.8</v>
      </c>
      <c r="N11" s="73">
        <v>12.7</v>
      </c>
      <c r="O11" s="72">
        <f t="shared" si="2"/>
        <v>0.7716535433070867</v>
      </c>
      <c r="P11" s="73"/>
      <c r="Q11" s="73"/>
      <c r="R11" s="73"/>
    </row>
    <row r="12" spans="1:18" ht="18.75" customHeight="1">
      <c r="A12" s="12" t="s">
        <v>50</v>
      </c>
      <c r="B12" s="12">
        <v>1030224101</v>
      </c>
      <c r="C12" s="73">
        <v>0.5</v>
      </c>
      <c r="D12" s="73"/>
      <c r="E12" s="69">
        <f>C12+D12</f>
        <v>0.5</v>
      </c>
      <c r="F12" s="69"/>
      <c r="G12" s="73">
        <v>0.2</v>
      </c>
      <c r="H12" s="71">
        <f>G12+M12</f>
        <v>0.2</v>
      </c>
      <c r="I12" s="72">
        <f t="shared" si="1"/>
        <v>0.4</v>
      </c>
      <c r="J12" s="72">
        <f>IF(F12&gt;0,H12/F12,0)</f>
        <v>0</v>
      </c>
      <c r="K12" s="73">
        <v>0.2</v>
      </c>
      <c r="L12" s="72">
        <f t="shared" si="3"/>
        <v>1</v>
      </c>
      <c r="M12" s="73"/>
      <c r="N12" s="73">
        <v>0.2</v>
      </c>
      <c r="O12" s="72">
        <f t="shared" si="2"/>
        <v>0</v>
      </c>
      <c r="P12" s="73"/>
      <c r="Q12" s="73"/>
      <c r="R12" s="73"/>
    </row>
    <row r="13" spans="1:18" ht="19.5" customHeight="1">
      <c r="A13" s="12" t="s">
        <v>51</v>
      </c>
      <c r="B13" s="12">
        <v>1030225101</v>
      </c>
      <c r="C13" s="73">
        <v>173.3</v>
      </c>
      <c r="D13" s="73"/>
      <c r="E13" s="69">
        <f>C13+D13</f>
        <v>173.3</v>
      </c>
      <c r="F13" s="69"/>
      <c r="G13" s="73">
        <v>33.7</v>
      </c>
      <c r="H13" s="71">
        <f>G13+M13</f>
        <v>48.1</v>
      </c>
      <c r="I13" s="72">
        <f t="shared" si="1"/>
        <v>0.27755337564916327</v>
      </c>
      <c r="J13" s="72">
        <f>IF(F13&gt;0,H13/F13,0)</f>
        <v>0</v>
      </c>
      <c r="K13" s="73">
        <v>39.5</v>
      </c>
      <c r="L13" s="72">
        <f t="shared" si="3"/>
        <v>1.2177215189873418</v>
      </c>
      <c r="M13" s="73">
        <v>14.4</v>
      </c>
      <c r="N13" s="73">
        <v>20.7</v>
      </c>
      <c r="O13" s="72">
        <f t="shared" si="2"/>
        <v>0.6956521739130436</v>
      </c>
      <c r="P13" s="73"/>
      <c r="Q13" s="73"/>
      <c r="R13" s="73"/>
    </row>
    <row r="14" spans="1:18" ht="18.75" customHeight="1">
      <c r="A14" s="12" t="s">
        <v>52</v>
      </c>
      <c r="B14" s="12">
        <v>1030226101</v>
      </c>
      <c r="C14" s="73">
        <v>-13</v>
      </c>
      <c r="D14" s="73"/>
      <c r="E14" s="69">
        <f>C14+D14</f>
        <v>-13</v>
      </c>
      <c r="F14" s="69"/>
      <c r="G14" s="73">
        <v>-5</v>
      </c>
      <c r="H14" s="71">
        <f>G14+M14</f>
        <v>-6.5</v>
      </c>
      <c r="I14" s="72">
        <f>H14/E14</f>
        <v>0.5</v>
      </c>
      <c r="J14" s="72">
        <f>IF(F14&gt;0,H14/F14,0)</f>
        <v>0</v>
      </c>
      <c r="K14" s="73">
        <v>-5</v>
      </c>
      <c r="L14" s="72">
        <f t="shared" si="3"/>
        <v>0</v>
      </c>
      <c r="M14" s="73">
        <v>-1.5</v>
      </c>
      <c r="N14" s="73">
        <v>-2.2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6" ref="C15:H15">C16</f>
        <v>10</v>
      </c>
      <c r="D15" s="75">
        <f t="shared" si="6"/>
        <v>0</v>
      </c>
      <c r="E15" s="75">
        <f t="shared" si="6"/>
        <v>10</v>
      </c>
      <c r="F15" s="75">
        <f t="shared" si="6"/>
        <v>0</v>
      </c>
      <c r="G15" s="74">
        <f>G16</f>
        <v>0</v>
      </c>
      <c r="H15" s="75">
        <f t="shared" si="6"/>
        <v>0</v>
      </c>
      <c r="I15" s="68">
        <f t="shared" si="1"/>
        <v>0</v>
      </c>
      <c r="J15" s="68">
        <f t="shared" si="4"/>
        <v>0</v>
      </c>
      <c r="K15" s="74">
        <f>K16</f>
        <v>2.9</v>
      </c>
      <c r="L15" s="68">
        <f t="shared" si="3"/>
        <v>0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>
        <v>10</v>
      </c>
      <c r="D16" s="70"/>
      <c r="E16" s="69">
        <f>C16+D16</f>
        <v>10</v>
      </c>
      <c r="F16" s="69">
        <f>1-1</f>
        <v>0</v>
      </c>
      <c r="G16" s="73"/>
      <c r="H16" s="71">
        <f>G16+M16</f>
        <v>0</v>
      </c>
      <c r="I16" s="72">
        <f t="shared" si="1"/>
        <v>0</v>
      </c>
      <c r="J16" s="72">
        <f t="shared" si="4"/>
        <v>0</v>
      </c>
      <c r="K16" s="73">
        <v>2.9</v>
      </c>
      <c r="L16" s="72">
        <f t="shared" si="3"/>
        <v>0</v>
      </c>
      <c r="M16" s="73"/>
      <c r="N16" s="73"/>
      <c r="O16" s="72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7" ref="C17:H17">C18+C21</f>
        <v>94</v>
      </c>
      <c r="D17" s="128">
        <f t="shared" si="7"/>
        <v>0</v>
      </c>
      <c r="E17" s="75">
        <f t="shared" si="7"/>
        <v>94</v>
      </c>
      <c r="F17" s="75">
        <f t="shared" si="7"/>
        <v>0</v>
      </c>
      <c r="G17" s="74">
        <f>G18+G21</f>
        <v>3.6000000000000005</v>
      </c>
      <c r="H17" s="75">
        <f t="shared" si="7"/>
        <v>4</v>
      </c>
      <c r="I17" s="68">
        <f t="shared" si="1"/>
        <v>0.0425531914893617</v>
      </c>
      <c r="J17" s="68">
        <f t="shared" si="4"/>
        <v>0</v>
      </c>
      <c r="K17" s="74">
        <f>K18+K21</f>
        <v>2.7</v>
      </c>
      <c r="L17" s="68">
        <f t="shared" si="3"/>
        <v>1.4814814814814814</v>
      </c>
      <c r="M17" s="74">
        <f>M18+M21</f>
        <v>0.4</v>
      </c>
      <c r="N17" s="74">
        <f>N18+N21</f>
        <v>1.1</v>
      </c>
      <c r="O17" s="68">
        <f t="shared" si="2"/>
        <v>0.36363636363636365</v>
      </c>
      <c r="P17" s="74">
        <f>P18+P21</f>
        <v>26.3</v>
      </c>
      <c r="Q17" s="74">
        <f>Q18+Q21</f>
        <v>25.6</v>
      </c>
      <c r="R17" s="74">
        <f>R18+R21</f>
        <v>25.400000000000002</v>
      </c>
    </row>
    <row r="18" spans="1:19" ht="18">
      <c r="A18" s="13" t="s">
        <v>13</v>
      </c>
      <c r="B18" s="13">
        <v>1060600000</v>
      </c>
      <c r="C18" s="76">
        <f aca="true" t="shared" si="8" ref="C18:H18">C19+C20</f>
        <v>81</v>
      </c>
      <c r="D18" s="76">
        <f t="shared" si="8"/>
        <v>0</v>
      </c>
      <c r="E18" s="70">
        <f t="shared" si="8"/>
        <v>81</v>
      </c>
      <c r="F18" s="70">
        <f t="shared" si="8"/>
        <v>0</v>
      </c>
      <c r="G18" s="76">
        <f>G19+G20</f>
        <v>5.1000000000000005</v>
      </c>
      <c r="H18" s="70">
        <f t="shared" si="8"/>
        <v>5.5</v>
      </c>
      <c r="I18" s="72">
        <f t="shared" si="1"/>
        <v>0.06790123456790123</v>
      </c>
      <c r="J18" s="72">
        <f t="shared" si="4"/>
        <v>0</v>
      </c>
      <c r="K18" s="76">
        <f>K19+K20</f>
        <v>2.7</v>
      </c>
      <c r="L18" s="72">
        <f t="shared" si="3"/>
        <v>2.0370370370370368</v>
      </c>
      <c r="M18" s="76">
        <f>M19+M20</f>
        <v>0.4</v>
      </c>
      <c r="N18" s="76">
        <f>N19+N20</f>
        <v>1.1</v>
      </c>
      <c r="O18" s="72">
        <f t="shared" si="2"/>
        <v>0.36363636363636365</v>
      </c>
      <c r="P18" s="73">
        <f>P19+P20</f>
        <v>24.5</v>
      </c>
      <c r="Q18" s="73">
        <f>Q19+Q20</f>
        <v>23.8</v>
      </c>
      <c r="R18" s="73">
        <f>R19+R20</f>
        <v>23.6</v>
      </c>
      <c r="S18" s="161"/>
    </row>
    <row r="19" spans="1:18" ht="18">
      <c r="A19" s="13" t="s">
        <v>100</v>
      </c>
      <c r="B19" s="13">
        <v>1060603310</v>
      </c>
      <c r="C19" s="73">
        <v>28</v>
      </c>
      <c r="D19" s="70"/>
      <c r="E19" s="69">
        <f>C19+D19</f>
        <v>28</v>
      </c>
      <c r="F19" s="69"/>
      <c r="G19" s="73">
        <v>4.4</v>
      </c>
      <c r="H19" s="71">
        <f>G19+M19</f>
        <v>4.5</v>
      </c>
      <c r="I19" s="72">
        <f t="shared" si="1"/>
        <v>0.16071428571428573</v>
      </c>
      <c r="J19" s="72">
        <f t="shared" si="4"/>
        <v>0</v>
      </c>
      <c r="K19" s="73">
        <v>0.8</v>
      </c>
      <c r="L19" s="72">
        <f t="shared" si="3"/>
        <v>5.625</v>
      </c>
      <c r="M19" s="73">
        <v>0.1</v>
      </c>
      <c r="N19" s="73"/>
      <c r="O19" s="72">
        <f t="shared" si="2"/>
        <v>0</v>
      </c>
      <c r="P19" s="73"/>
      <c r="Q19" s="73"/>
      <c r="R19" s="73"/>
    </row>
    <row r="20" spans="1:20" ht="18">
      <c r="A20" s="13" t="s">
        <v>101</v>
      </c>
      <c r="B20" s="13">
        <v>1060604310</v>
      </c>
      <c r="C20" s="73">
        <v>53</v>
      </c>
      <c r="D20" s="70"/>
      <c r="E20" s="69">
        <f>C20+D20</f>
        <v>53</v>
      </c>
      <c r="F20" s="69"/>
      <c r="G20" s="73">
        <v>0.7</v>
      </c>
      <c r="H20" s="71">
        <f>G20+M20</f>
        <v>1</v>
      </c>
      <c r="I20" s="72">
        <f t="shared" si="1"/>
        <v>0.018867924528301886</v>
      </c>
      <c r="J20" s="72">
        <f t="shared" si="4"/>
        <v>0</v>
      </c>
      <c r="K20" s="73">
        <v>1.9</v>
      </c>
      <c r="L20" s="72">
        <f t="shared" si="3"/>
        <v>0.5263157894736842</v>
      </c>
      <c r="M20" s="73">
        <v>0.3</v>
      </c>
      <c r="N20" s="73">
        <v>1.1</v>
      </c>
      <c r="O20" s="72">
        <f t="shared" si="2"/>
        <v>0.2727272727272727</v>
      </c>
      <c r="P20" s="73">
        <v>24.5</v>
      </c>
      <c r="Q20" s="73">
        <v>23.8</v>
      </c>
      <c r="R20" s="73">
        <v>23.6</v>
      </c>
      <c r="S20" s="132"/>
      <c r="T20" s="163"/>
    </row>
    <row r="21" spans="1:20" ht="18">
      <c r="A21" s="13" t="s">
        <v>12</v>
      </c>
      <c r="B21" s="13">
        <v>1060103010</v>
      </c>
      <c r="C21" s="73">
        <v>13</v>
      </c>
      <c r="D21" s="70"/>
      <c r="E21" s="69">
        <f>C21+D21</f>
        <v>13</v>
      </c>
      <c r="F21" s="69"/>
      <c r="G21" s="73">
        <v>-1.5</v>
      </c>
      <c r="H21" s="71">
        <f>G21+M21</f>
        <v>-1.5</v>
      </c>
      <c r="I21" s="72">
        <f t="shared" si="1"/>
        <v>-0.11538461538461539</v>
      </c>
      <c r="J21" s="72">
        <f t="shared" si="4"/>
        <v>0</v>
      </c>
      <c r="K21" s="73"/>
      <c r="L21" s="72">
        <f t="shared" si="3"/>
        <v>0</v>
      </c>
      <c r="M21" s="73"/>
      <c r="N21" s="73"/>
      <c r="O21" s="72">
        <f t="shared" si="2"/>
        <v>0</v>
      </c>
      <c r="P21" s="73">
        <v>1.8</v>
      </c>
      <c r="Q21" s="73">
        <v>1.8</v>
      </c>
      <c r="R21" s="73">
        <v>1.8</v>
      </c>
      <c r="S21" s="132"/>
      <c r="T21" s="163"/>
    </row>
    <row r="22" spans="1:18" ht="18">
      <c r="A22" s="30" t="s">
        <v>72</v>
      </c>
      <c r="B22" s="30">
        <v>1080402001</v>
      </c>
      <c r="C22" s="74">
        <v>1</v>
      </c>
      <c r="D22" s="75"/>
      <c r="E22" s="67">
        <f>C22+D22</f>
        <v>1</v>
      </c>
      <c r="F22" s="67"/>
      <c r="G22" s="74">
        <v>0.4</v>
      </c>
      <c r="H22" s="77">
        <f>G22+M22</f>
        <v>0.4</v>
      </c>
      <c r="I22" s="68">
        <f t="shared" si="1"/>
        <v>0.4</v>
      </c>
      <c r="J22" s="68">
        <f t="shared" si="4"/>
        <v>0</v>
      </c>
      <c r="K22" s="74">
        <v>0.2</v>
      </c>
      <c r="L22" s="68">
        <f t="shared" si="3"/>
        <v>2</v>
      </c>
      <c r="M22" s="74"/>
      <c r="N22" s="74">
        <v>0.1</v>
      </c>
      <c r="O22" s="68">
        <f t="shared" si="2"/>
        <v>0</v>
      </c>
      <c r="P22" s="74"/>
      <c r="Q22" s="74"/>
      <c r="R22" s="74"/>
    </row>
    <row r="23" spans="1:18" ht="2.25" customHeight="1" hidden="1">
      <c r="A23" s="30" t="s">
        <v>73</v>
      </c>
      <c r="B23" s="30">
        <v>1090405010</v>
      </c>
      <c r="C23" s="74"/>
      <c r="D23" s="74"/>
      <c r="E23" s="67">
        <f>C23+D23</f>
        <v>0</v>
      </c>
      <c r="F23" s="67"/>
      <c r="G23" s="74"/>
      <c r="H23" s="77">
        <f>G23+M23</f>
        <v>0</v>
      </c>
      <c r="I23" s="68">
        <f t="shared" si="1"/>
        <v>0</v>
      </c>
      <c r="J23" s="68">
        <f t="shared" si="4"/>
        <v>0</v>
      </c>
      <c r="K23" s="74"/>
      <c r="L23" s="68">
        <f t="shared" si="3"/>
        <v>0</v>
      </c>
      <c r="M23" s="74"/>
      <c r="N23" s="74"/>
      <c r="O23" s="68">
        <f t="shared" si="2"/>
        <v>0</v>
      </c>
      <c r="P23" s="74"/>
      <c r="Q23" s="74"/>
      <c r="R23" s="74"/>
    </row>
    <row r="24" spans="1:18" ht="18">
      <c r="A24" s="14" t="s">
        <v>22</v>
      </c>
      <c r="B24" s="32"/>
      <c r="C24" s="88">
        <f aca="true" t="shared" si="9" ref="C24:H24">C25+C28+C32+C29+C31+C30</f>
        <v>390</v>
      </c>
      <c r="D24" s="155">
        <f t="shared" si="9"/>
        <v>88.679</v>
      </c>
      <c r="E24" s="155">
        <f t="shared" si="9"/>
        <v>478.679</v>
      </c>
      <c r="F24" s="88">
        <f t="shared" si="9"/>
        <v>0</v>
      </c>
      <c r="G24" s="88">
        <f>G25+G28+G32+G29+G31+G30</f>
        <v>33.4</v>
      </c>
      <c r="H24" s="88">
        <f t="shared" si="9"/>
        <v>121.19999999999999</v>
      </c>
      <c r="I24" s="66">
        <f t="shared" si="1"/>
        <v>0.2531968187449209</v>
      </c>
      <c r="J24" s="66">
        <f t="shared" si="4"/>
        <v>0</v>
      </c>
      <c r="K24" s="88">
        <f>K25+K28+K32+K29+K31+K30</f>
        <v>77.99999999999999</v>
      </c>
      <c r="L24" s="66">
        <f t="shared" si="3"/>
        <v>1.5538461538461539</v>
      </c>
      <c r="M24" s="88">
        <f>M25+M28+M32+M29+M31+M30</f>
        <v>87.80000000000001</v>
      </c>
      <c r="N24" s="88">
        <f>N25+N28+N32+N29+N31+N30</f>
        <v>35.7</v>
      </c>
      <c r="O24" s="66">
        <f t="shared" si="2"/>
        <v>2.4593837535014007</v>
      </c>
      <c r="P24" s="78">
        <f>P25+P28+P31</f>
        <v>0</v>
      </c>
      <c r="Q24" s="78">
        <f>Q25+Q28+Q31</f>
        <v>0</v>
      </c>
      <c r="R24" s="78">
        <f>R25+R28+R31</f>
        <v>0</v>
      </c>
    </row>
    <row r="25" spans="1:18" ht="18">
      <c r="A25" s="9" t="s">
        <v>74</v>
      </c>
      <c r="B25" s="30">
        <v>1110000000</v>
      </c>
      <c r="C25" s="74">
        <f aca="true" t="shared" si="10" ref="C25:H25">C26+C27</f>
        <v>30</v>
      </c>
      <c r="D25" s="74">
        <f t="shared" si="10"/>
        <v>0</v>
      </c>
      <c r="E25" s="74">
        <f t="shared" si="10"/>
        <v>30</v>
      </c>
      <c r="F25" s="74">
        <f t="shared" si="10"/>
        <v>0</v>
      </c>
      <c r="G25" s="74">
        <f>G26+G27</f>
        <v>1.9</v>
      </c>
      <c r="H25" s="74">
        <f t="shared" si="10"/>
        <v>7.1</v>
      </c>
      <c r="I25" s="89">
        <f t="shared" si="1"/>
        <v>0.23666666666666666</v>
      </c>
      <c r="J25" s="89">
        <f t="shared" si="4"/>
        <v>0</v>
      </c>
      <c r="K25" s="74">
        <f>K26+K27</f>
        <v>4.6</v>
      </c>
      <c r="L25" s="89">
        <f t="shared" si="3"/>
        <v>1.5434782608695652</v>
      </c>
      <c r="M25" s="74">
        <f>M26+M27</f>
        <v>5.2</v>
      </c>
      <c r="N25" s="74">
        <f>N26+N27</f>
        <v>3.1</v>
      </c>
      <c r="O25" s="89">
        <f t="shared" si="2"/>
        <v>1.6774193548387097</v>
      </c>
      <c r="P25" s="74">
        <f>P26+P27</f>
        <v>0</v>
      </c>
      <c r="Q25" s="74">
        <f>Q26+Q27</f>
        <v>0</v>
      </c>
      <c r="R25" s="74">
        <f>R26+R27</f>
        <v>0</v>
      </c>
    </row>
    <row r="26" spans="1:18" ht="3" customHeight="1">
      <c r="A26" s="13" t="s">
        <v>26</v>
      </c>
      <c r="B26" s="13">
        <v>1110501013</v>
      </c>
      <c r="C26" s="73"/>
      <c r="D26" s="70"/>
      <c r="E26" s="73">
        <f>C26+D26</f>
        <v>0</v>
      </c>
      <c r="F26" s="73"/>
      <c r="G26" s="73"/>
      <c r="H26" s="70">
        <f aca="true" t="shared" si="11" ref="H26:H31">G26+M26</f>
        <v>0</v>
      </c>
      <c r="I26" s="79">
        <f t="shared" si="1"/>
        <v>0</v>
      </c>
      <c r="J26" s="79">
        <f t="shared" si="4"/>
        <v>0</v>
      </c>
      <c r="K26" s="73"/>
      <c r="L26" s="79">
        <f t="shared" si="3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18">
      <c r="A27" s="33" t="s">
        <v>23</v>
      </c>
      <c r="B27" s="13">
        <v>1110904510</v>
      </c>
      <c r="C27" s="73">
        <v>30</v>
      </c>
      <c r="D27" s="85"/>
      <c r="E27" s="73">
        <f>C27+D27</f>
        <v>30</v>
      </c>
      <c r="F27" s="73"/>
      <c r="G27" s="73">
        <v>1.9</v>
      </c>
      <c r="H27" s="70">
        <f t="shared" si="11"/>
        <v>7.1</v>
      </c>
      <c r="I27" s="79">
        <f t="shared" si="1"/>
        <v>0.23666666666666666</v>
      </c>
      <c r="J27" s="79">
        <f t="shared" si="4"/>
        <v>0</v>
      </c>
      <c r="K27" s="73">
        <v>4.6</v>
      </c>
      <c r="L27" s="79">
        <f t="shared" si="3"/>
        <v>1.5434782608695652</v>
      </c>
      <c r="M27" s="73">
        <v>5.2</v>
      </c>
      <c r="N27" s="73">
        <v>3.1</v>
      </c>
      <c r="O27" s="79">
        <f t="shared" si="2"/>
        <v>1.6774193548387097</v>
      </c>
      <c r="P27" s="73"/>
      <c r="Q27" s="73"/>
      <c r="R27" s="73"/>
    </row>
    <row r="28" spans="1:18" ht="18">
      <c r="A28" s="9" t="s">
        <v>38</v>
      </c>
      <c r="B28" s="30">
        <v>1130299510</v>
      </c>
      <c r="C28" s="74">
        <v>360</v>
      </c>
      <c r="D28" s="74">
        <f>88.679</f>
        <v>88.679</v>
      </c>
      <c r="E28" s="74">
        <f>C28+D28</f>
        <v>448.679</v>
      </c>
      <c r="F28" s="74"/>
      <c r="G28" s="74">
        <v>31.5</v>
      </c>
      <c r="H28" s="75">
        <f t="shared" si="11"/>
        <v>59</v>
      </c>
      <c r="I28" s="89">
        <f t="shared" si="1"/>
        <v>0.13149712823644522</v>
      </c>
      <c r="J28" s="89">
        <f t="shared" si="4"/>
        <v>0</v>
      </c>
      <c r="K28" s="74">
        <v>73.3</v>
      </c>
      <c r="L28" s="89">
        <f t="shared" si="3"/>
        <v>0.8049113233287858</v>
      </c>
      <c r="M28" s="74">
        <v>27.5</v>
      </c>
      <c r="N28" s="74">
        <v>32.5</v>
      </c>
      <c r="O28" s="89">
        <f t="shared" si="2"/>
        <v>0.8461538461538461</v>
      </c>
      <c r="P28" s="74"/>
      <c r="Q28" s="74"/>
      <c r="R28" s="74"/>
    </row>
    <row r="29" spans="1:18" ht="18">
      <c r="A29" s="9" t="s">
        <v>75</v>
      </c>
      <c r="B29" s="30">
        <v>1140205310</v>
      </c>
      <c r="C29" s="74"/>
      <c r="D29" s="74"/>
      <c r="E29" s="74">
        <f>C29+D29</f>
        <v>0</v>
      </c>
      <c r="F29" s="74"/>
      <c r="G29" s="74"/>
      <c r="H29" s="75">
        <f t="shared" si="11"/>
        <v>0</v>
      </c>
      <c r="I29" s="89">
        <f>IF(E29&gt;0,H29/E29,0)</f>
        <v>0</v>
      </c>
      <c r="J29" s="89">
        <f>IF(F29&gt;0,H29/F29,0)</f>
        <v>0</v>
      </c>
      <c r="K29" s="74"/>
      <c r="L29" s="89">
        <f t="shared" si="3"/>
        <v>0</v>
      </c>
      <c r="M29" s="74"/>
      <c r="N29" s="74"/>
      <c r="O29" s="89">
        <f t="shared" si="2"/>
        <v>0</v>
      </c>
      <c r="P29" s="74"/>
      <c r="Q29" s="74"/>
      <c r="R29" s="74"/>
    </row>
    <row r="30" spans="1:18" ht="18">
      <c r="A30" s="9" t="s">
        <v>76</v>
      </c>
      <c r="B30" s="30">
        <v>1140601410</v>
      </c>
      <c r="C30" s="74"/>
      <c r="D30" s="74"/>
      <c r="E30" s="74"/>
      <c r="F30" s="74"/>
      <c r="G30" s="74"/>
      <c r="H30" s="75">
        <f t="shared" si="11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3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77</v>
      </c>
      <c r="B31" s="30">
        <v>1169005010</v>
      </c>
      <c r="C31" s="74"/>
      <c r="D31" s="74"/>
      <c r="E31" s="75">
        <f>C31+D31</f>
        <v>0</v>
      </c>
      <c r="F31" s="75"/>
      <c r="G31" s="74"/>
      <c r="H31" s="75">
        <f t="shared" si="11"/>
        <v>0</v>
      </c>
      <c r="I31" s="89">
        <f>IF(E31&gt;0,H31/E31,0)</f>
        <v>0</v>
      </c>
      <c r="J31" s="89">
        <f>IF(F31&gt;0,H31/F31,0)</f>
        <v>0</v>
      </c>
      <c r="K31" s="74"/>
      <c r="L31" s="89">
        <f t="shared" si="3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20" ht="18">
      <c r="A32" s="9" t="s">
        <v>69</v>
      </c>
      <c r="B32" s="30">
        <v>1170000000</v>
      </c>
      <c r="C32" s="74">
        <f>SUM(C33:C34)</f>
        <v>0</v>
      </c>
      <c r="D32" s="74">
        <f aca="true" t="shared" si="12" ref="D32:R32">SUM(D33:D34)</f>
        <v>0</v>
      </c>
      <c r="E32" s="74">
        <f t="shared" si="12"/>
        <v>0</v>
      </c>
      <c r="F32" s="74">
        <f t="shared" si="12"/>
        <v>0</v>
      </c>
      <c r="G32" s="74">
        <f>SUM(G33:G34)</f>
        <v>0</v>
      </c>
      <c r="H32" s="74">
        <f t="shared" si="12"/>
        <v>55.1</v>
      </c>
      <c r="I32" s="89">
        <f>IF(E32&gt;0,H32/E32,0)</f>
        <v>0</v>
      </c>
      <c r="J32" s="89">
        <f>IF(F32&gt;0,H32/F32,0)</f>
        <v>0</v>
      </c>
      <c r="K32" s="74">
        <f>SUM(K33:K34)</f>
        <v>0.1</v>
      </c>
      <c r="L32" s="89">
        <f t="shared" si="3"/>
        <v>551</v>
      </c>
      <c r="M32" s="74">
        <f>SUM(M33:M34)</f>
        <v>55.1</v>
      </c>
      <c r="N32" s="74">
        <f>SUM(N33:N34)</f>
        <v>0.1</v>
      </c>
      <c r="O32" s="74">
        <f t="shared" si="12"/>
        <v>1</v>
      </c>
      <c r="P32" s="74">
        <f t="shared" si="12"/>
        <v>0</v>
      </c>
      <c r="Q32" s="74">
        <f>SUM(Q33:Q34)</f>
        <v>0</v>
      </c>
      <c r="R32" s="74">
        <f t="shared" si="12"/>
        <v>0</v>
      </c>
      <c r="S32" s="165"/>
      <c r="T32" s="163"/>
    </row>
    <row r="33" spans="1:18" ht="18">
      <c r="A33" s="13" t="s">
        <v>8</v>
      </c>
      <c r="B33" s="13">
        <v>1170103003</v>
      </c>
      <c r="C33" s="73"/>
      <c r="D33" s="73"/>
      <c r="E33" s="73">
        <f>C33+D33</f>
        <v>0</v>
      </c>
      <c r="F33" s="73"/>
      <c r="G33" s="73"/>
      <c r="H33" s="70">
        <f>G33+M33</f>
        <v>55</v>
      </c>
      <c r="I33" s="79">
        <f t="shared" si="1"/>
        <v>0</v>
      </c>
      <c r="J33" s="79">
        <f t="shared" si="4"/>
        <v>0</v>
      </c>
      <c r="K33" s="73"/>
      <c r="L33" s="79">
        <f t="shared" si="3"/>
        <v>0</v>
      </c>
      <c r="M33" s="73">
        <v>55</v>
      </c>
      <c r="N33" s="73"/>
      <c r="O33" s="79">
        <f aca="true" t="shared" si="13" ref="O33:O39">IF(N33&gt;0,M33/N33,0)</f>
        <v>0</v>
      </c>
      <c r="P33" s="79"/>
      <c r="Q33" s="79"/>
      <c r="R33" s="79"/>
    </row>
    <row r="34" spans="1:18" ht="18">
      <c r="A34" s="13" t="s">
        <v>33</v>
      </c>
      <c r="B34" s="13">
        <v>1170505010</v>
      </c>
      <c r="C34" s="73"/>
      <c r="D34" s="70"/>
      <c r="E34" s="73">
        <f>C34+D34</f>
        <v>0</v>
      </c>
      <c r="F34" s="73"/>
      <c r="G34" s="73"/>
      <c r="H34" s="70">
        <f>G34+M34</f>
        <v>0.1</v>
      </c>
      <c r="I34" s="79">
        <f>IF(E34&gt;0,H34/E34,0)</f>
        <v>0</v>
      </c>
      <c r="J34" s="79">
        <f>IF(F34&gt;0,H34/F34,0)</f>
        <v>0</v>
      </c>
      <c r="K34" s="73">
        <v>0.1</v>
      </c>
      <c r="L34" s="79">
        <f>IF(K34&gt;0,H34/K34,0)</f>
        <v>1</v>
      </c>
      <c r="M34" s="73">
        <v>0.1</v>
      </c>
      <c r="N34" s="73">
        <v>0.1</v>
      </c>
      <c r="O34" s="79">
        <f t="shared" si="13"/>
        <v>1</v>
      </c>
      <c r="P34" s="73"/>
      <c r="Q34" s="73"/>
      <c r="R34" s="73"/>
    </row>
    <row r="35" spans="1:18" ht="18">
      <c r="A35" s="9" t="s">
        <v>6</v>
      </c>
      <c r="B35" s="9">
        <v>1000000000</v>
      </c>
      <c r="C35" s="80">
        <f aca="true" t="shared" si="14" ref="C35:H35">C5+C24</f>
        <v>1056.9</v>
      </c>
      <c r="D35" s="80">
        <f t="shared" si="14"/>
        <v>148.679</v>
      </c>
      <c r="E35" s="80">
        <f t="shared" si="14"/>
        <v>1205.579</v>
      </c>
      <c r="F35" s="81" t="e">
        <f t="shared" si="14"/>
        <v>#REF!</v>
      </c>
      <c r="G35" s="81">
        <f>G5+G24</f>
        <v>160.5</v>
      </c>
      <c r="H35" s="81">
        <f t="shared" si="14"/>
        <v>303.6</v>
      </c>
      <c r="I35" s="82">
        <f t="shared" si="1"/>
        <v>0.25182920405879666</v>
      </c>
      <c r="J35" s="82" t="e">
        <f t="shared" si="4"/>
        <v>#REF!</v>
      </c>
      <c r="K35" s="81">
        <f>K5+K24</f>
        <v>228.39999999999998</v>
      </c>
      <c r="L35" s="82">
        <f t="shared" si="3"/>
        <v>1.3292469352014014</v>
      </c>
      <c r="M35" s="81">
        <f>M5+M24</f>
        <v>143.10000000000002</v>
      </c>
      <c r="N35" s="81">
        <f>N5+N24</f>
        <v>97.3</v>
      </c>
      <c r="O35" s="82">
        <f t="shared" si="13"/>
        <v>1.4707091469681401</v>
      </c>
      <c r="P35" s="81">
        <f>P5+P24</f>
        <v>27.6</v>
      </c>
      <c r="Q35" s="81">
        <f>Q5+Q24</f>
        <v>28.1</v>
      </c>
      <c r="R35" s="81">
        <f>R5+R24</f>
        <v>27.900000000000002</v>
      </c>
    </row>
    <row r="36" spans="1:18" ht="18">
      <c r="A36" s="9" t="s">
        <v>92</v>
      </c>
      <c r="B36" s="9"/>
      <c r="C36" s="81">
        <f aca="true" t="shared" si="15" ref="C36:H36">C35-C10</f>
        <v>800.8000000000001</v>
      </c>
      <c r="D36" s="80">
        <f t="shared" si="15"/>
        <v>148.679</v>
      </c>
      <c r="E36" s="80">
        <f t="shared" si="15"/>
        <v>949.4789999999999</v>
      </c>
      <c r="F36" s="81" t="e">
        <f t="shared" si="15"/>
        <v>#REF!</v>
      </c>
      <c r="G36" s="81">
        <f>G35-G10</f>
        <v>108.6</v>
      </c>
      <c r="H36" s="81">
        <f t="shared" si="15"/>
        <v>229.00000000000003</v>
      </c>
      <c r="I36" s="82">
        <f>IF(E36&gt;0,H36/E36,0)</f>
        <v>0.24118490245703175</v>
      </c>
      <c r="J36" s="82" t="e">
        <f>IF(F36&gt;0,H36/F36,0)</f>
        <v>#REF!</v>
      </c>
      <c r="K36" s="81">
        <f>K35-K10</f>
        <v>169.49999999999997</v>
      </c>
      <c r="L36" s="82">
        <f t="shared" si="3"/>
        <v>1.3510324483775815</v>
      </c>
      <c r="M36" s="81">
        <f>M35-M10</f>
        <v>120.40000000000002</v>
      </c>
      <c r="N36" s="81">
        <f>N35-N10</f>
        <v>65.9</v>
      </c>
      <c r="O36" s="82">
        <f t="shared" si="13"/>
        <v>1.8270106221547802</v>
      </c>
      <c r="P36" s="81"/>
      <c r="Q36" s="81"/>
      <c r="R36" s="81"/>
    </row>
    <row r="37" spans="1:18" ht="18">
      <c r="A37" s="13" t="s">
        <v>36</v>
      </c>
      <c r="B37" s="13">
        <v>2000000000</v>
      </c>
      <c r="C37" s="73">
        <v>2684.002</v>
      </c>
      <c r="D37" s="70"/>
      <c r="E37" s="83">
        <f>C37+D37</f>
        <v>2684.002</v>
      </c>
      <c r="F37" s="69"/>
      <c r="G37" s="73">
        <v>871.3</v>
      </c>
      <c r="H37" s="70">
        <f>G37+M37</f>
        <v>1042</v>
      </c>
      <c r="I37" s="72">
        <f t="shared" si="1"/>
        <v>0.3882262382814916</v>
      </c>
      <c r="J37" s="72">
        <f t="shared" si="4"/>
        <v>0</v>
      </c>
      <c r="K37" s="73">
        <v>438.5</v>
      </c>
      <c r="L37" s="72">
        <f t="shared" si="3"/>
        <v>2.3762827822120864</v>
      </c>
      <c r="M37" s="73">
        <v>170.7</v>
      </c>
      <c r="N37" s="73">
        <v>66.4</v>
      </c>
      <c r="O37" s="72">
        <f t="shared" si="13"/>
        <v>2.5707831325301203</v>
      </c>
      <c r="P37" s="73"/>
      <c r="Q37" s="73"/>
      <c r="R37" s="73"/>
    </row>
    <row r="38" spans="1:18" ht="18">
      <c r="A38" s="13" t="s">
        <v>46</v>
      </c>
      <c r="B38" s="34" t="s">
        <v>37</v>
      </c>
      <c r="C38" s="73"/>
      <c r="D38" s="85"/>
      <c r="E38" s="69">
        <f>C38+D38</f>
        <v>0</v>
      </c>
      <c r="F38" s="69"/>
      <c r="G38" s="73"/>
      <c r="H38" s="70">
        <f>G38+M38</f>
        <v>10</v>
      </c>
      <c r="I38" s="72">
        <f>IF(E38&gt;0,H38/E38,0)</f>
        <v>0</v>
      </c>
      <c r="J38" s="72">
        <f>IF(F38&gt;0,H38/F38,0)</f>
        <v>0</v>
      </c>
      <c r="K38" s="73">
        <v>96.4</v>
      </c>
      <c r="L38" s="72">
        <f t="shared" si="3"/>
        <v>0.10373443983402489</v>
      </c>
      <c r="M38" s="73">
        <v>10</v>
      </c>
      <c r="N38" s="73">
        <v>93.9</v>
      </c>
      <c r="O38" s="72">
        <f t="shared" si="13"/>
        <v>0.10649627263045792</v>
      </c>
      <c r="P38" s="73"/>
      <c r="Q38" s="73"/>
      <c r="R38" s="73"/>
    </row>
    <row r="39" spans="1:18" ht="18">
      <c r="A39" s="9" t="s">
        <v>2</v>
      </c>
      <c r="B39" s="9">
        <v>0</v>
      </c>
      <c r="C39" s="80">
        <f aca="true" t="shared" si="16" ref="C39:H39">C35+C37+C38</f>
        <v>3740.902</v>
      </c>
      <c r="D39" s="80">
        <f t="shared" si="16"/>
        <v>148.679</v>
      </c>
      <c r="E39" s="80">
        <f t="shared" si="16"/>
        <v>3889.581</v>
      </c>
      <c r="F39" s="81" t="e">
        <f t="shared" si="16"/>
        <v>#REF!</v>
      </c>
      <c r="G39" s="81">
        <f t="shared" si="16"/>
        <v>1031.8</v>
      </c>
      <c r="H39" s="81">
        <f t="shared" si="16"/>
        <v>1355.6</v>
      </c>
      <c r="I39" s="82">
        <f t="shared" si="1"/>
        <v>0.3485208303927852</v>
      </c>
      <c r="J39" s="82" t="e">
        <f t="shared" si="4"/>
        <v>#REF!</v>
      </c>
      <c r="K39" s="81">
        <f>K35+K37+K38</f>
        <v>763.3</v>
      </c>
      <c r="L39" s="82">
        <f t="shared" si="3"/>
        <v>1.7759727499017424</v>
      </c>
      <c r="M39" s="90">
        <f>M35+M37+M38</f>
        <v>323.8</v>
      </c>
      <c r="N39" s="81">
        <f>N35+N37+N38</f>
        <v>257.6</v>
      </c>
      <c r="O39" s="82">
        <f t="shared" si="13"/>
        <v>1.2569875776397514</v>
      </c>
      <c r="P39" s="81">
        <f>P35+P37</f>
        <v>27.6</v>
      </c>
      <c r="Q39" s="81">
        <f>Q35+Q37</f>
        <v>28.1</v>
      </c>
      <c r="R39" s="81">
        <f>R35+R37</f>
        <v>27.900000000000002</v>
      </c>
    </row>
  </sheetData>
  <sheetProtection/>
  <mergeCells count="15"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0.253906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9" t="s">
        <v>127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3.5" customHeight="1">
      <c r="A3" s="168" t="s">
        <v>3</v>
      </c>
      <c r="B3" s="168" t="s">
        <v>4</v>
      </c>
      <c r="C3" s="168" t="s">
        <v>112</v>
      </c>
      <c r="D3" s="168" t="s">
        <v>24</v>
      </c>
      <c r="E3" s="168" t="s">
        <v>113</v>
      </c>
      <c r="F3" s="168" t="s">
        <v>99</v>
      </c>
      <c r="G3" s="168" t="s">
        <v>118</v>
      </c>
      <c r="H3" s="168" t="s">
        <v>114</v>
      </c>
      <c r="I3" s="168"/>
      <c r="J3" s="168"/>
      <c r="K3" s="168" t="s">
        <v>111</v>
      </c>
      <c r="L3" s="168"/>
      <c r="M3" s="168" t="s">
        <v>121</v>
      </c>
      <c r="N3" s="168" t="s">
        <v>122</v>
      </c>
      <c r="O3" s="168" t="s">
        <v>30</v>
      </c>
      <c r="P3" s="168" t="s">
        <v>9</v>
      </c>
      <c r="Q3" s="168"/>
      <c r="R3" s="168"/>
    </row>
    <row r="4" spans="1:18" ht="93.75" customHeight="1">
      <c r="A4" s="178"/>
      <c r="B4" s="178"/>
      <c r="C4" s="168"/>
      <c r="D4" s="168"/>
      <c r="E4" s="168"/>
      <c r="F4" s="168"/>
      <c r="G4" s="168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8"/>
      <c r="N4" s="168"/>
      <c r="O4" s="168"/>
      <c r="P4" s="124" t="s">
        <v>115</v>
      </c>
      <c r="Q4" s="124" t="s">
        <v>119</v>
      </c>
      <c r="R4" s="124" t="s">
        <v>123</v>
      </c>
    </row>
    <row r="5" spans="1:18" ht="19.5" customHeight="1">
      <c r="A5" s="29" t="s">
        <v>21</v>
      </c>
      <c r="B5" s="29"/>
      <c r="C5" s="91">
        <f aca="true" t="shared" si="0" ref="C5:H5">C6+C15+C17+C22+C23+C10</f>
        <v>1173.3</v>
      </c>
      <c r="D5" s="91">
        <f t="shared" si="0"/>
        <v>0</v>
      </c>
      <c r="E5" s="144">
        <f t="shared" si="0"/>
        <v>1173.3</v>
      </c>
      <c r="F5" s="91" t="e">
        <f t="shared" si="0"/>
        <v>#REF!</v>
      </c>
      <c r="G5" s="91">
        <f t="shared" si="0"/>
        <v>262.79999999999995</v>
      </c>
      <c r="H5" s="91">
        <f t="shared" si="0"/>
        <v>366.8</v>
      </c>
      <c r="I5" s="92">
        <f aca="true" t="shared" si="1" ref="I5:I40">IF(E5&gt;0,H5/E5,0)</f>
        <v>0.3126225176851615</v>
      </c>
      <c r="J5" s="92" t="e">
        <f>IF(F5&gt;0,H5/F5,0)</f>
        <v>#REF!</v>
      </c>
      <c r="K5" s="91">
        <f>K6+K15+K17+K22+K23+K10</f>
        <v>261.4</v>
      </c>
      <c r="L5" s="92">
        <f>IF(K5&gt;0,H5/K5,0)</f>
        <v>1.4032134659525632</v>
      </c>
      <c r="M5" s="91">
        <f>M6+M15+M17+M22+M23+M10</f>
        <v>104</v>
      </c>
      <c r="N5" s="91">
        <f>N6+N15+N17+N22+N23+N10</f>
        <v>121.1</v>
      </c>
      <c r="O5" s="92">
        <f aca="true" t="shared" si="2" ref="O5:O33">IF(N5&gt;0,M5/N5,0)</f>
        <v>0.8587943848059455</v>
      </c>
      <c r="P5" s="91">
        <f>P6+P15+P17+P22+P23+P10</f>
        <v>48.400000000000006</v>
      </c>
      <c r="Q5" s="91">
        <f>Q6+Q15+Q17+Q22+Q23+Q10</f>
        <v>77.9</v>
      </c>
      <c r="R5" s="91">
        <f>R6+R15+R17+R22+R23+R10</f>
        <v>76.7</v>
      </c>
    </row>
    <row r="6" spans="1:18" ht="18">
      <c r="A6" s="9" t="s">
        <v>63</v>
      </c>
      <c r="B6" s="30">
        <v>1010200001</v>
      </c>
      <c r="C6" s="74">
        <f>C7+C8+C9</f>
        <v>570.1</v>
      </c>
      <c r="D6" s="74">
        <f>D7+D8+D9</f>
        <v>0</v>
      </c>
      <c r="E6" s="74">
        <f>E7+E8+E9</f>
        <v>570.1</v>
      </c>
      <c r="F6" s="74" t="e">
        <f>F7+F8+F9+#REF!</f>
        <v>#REF!</v>
      </c>
      <c r="G6" s="74">
        <f>G7+G8+G9</f>
        <v>105.1</v>
      </c>
      <c r="H6" s="74">
        <f>H7+H8+H9</f>
        <v>149.7</v>
      </c>
      <c r="I6" s="89">
        <f t="shared" si="1"/>
        <v>0.2625855113138046</v>
      </c>
      <c r="J6" s="89" t="e">
        <f>IF(F6&gt;0,H6/F6,0)</f>
        <v>#REF!</v>
      </c>
      <c r="K6" s="74">
        <f>K7+K8+K9</f>
        <v>119.5</v>
      </c>
      <c r="L6" s="89">
        <f aca="true" t="shared" si="3" ref="L6:L40">IF(K6&gt;0,H6/K6,0)</f>
        <v>1.2527196652719665</v>
      </c>
      <c r="M6" s="74">
        <f>M7+M8+M9</f>
        <v>44.6</v>
      </c>
      <c r="N6" s="74">
        <f>N7+N8+N9</f>
        <v>44.6</v>
      </c>
      <c r="O6" s="89">
        <f t="shared" si="2"/>
        <v>1</v>
      </c>
      <c r="P6" s="74">
        <f>P7+P8+P9</f>
        <v>0.2</v>
      </c>
      <c r="Q6" s="74">
        <f>Q7+Q8+Q9</f>
        <v>0.2</v>
      </c>
      <c r="R6" s="74">
        <f>R7+R8+R9</f>
        <v>0.2</v>
      </c>
    </row>
    <row r="7" spans="1:18" ht="18" customHeight="1">
      <c r="A7" s="10" t="s">
        <v>44</v>
      </c>
      <c r="B7" s="13">
        <v>1010201001</v>
      </c>
      <c r="C7" s="73">
        <v>561</v>
      </c>
      <c r="D7" s="85"/>
      <c r="E7" s="73">
        <f>C7+D7</f>
        <v>561</v>
      </c>
      <c r="F7" s="73"/>
      <c r="G7" s="70">
        <v>105.1</v>
      </c>
      <c r="H7" s="70">
        <f>G7+M7</f>
        <v>149.7</v>
      </c>
      <c r="I7" s="79">
        <f t="shared" si="1"/>
        <v>0.26684491978609626</v>
      </c>
      <c r="J7" s="79">
        <f aca="true" t="shared" si="4" ref="J7:J40">IF(F7&gt;0,H7/F7,0)</f>
        <v>0</v>
      </c>
      <c r="K7" s="70">
        <v>119.3</v>
      </c>
      <c r="L7" s="79">
        <f t="shared" si="3"/>
        <v>1.2548197820620284</v>
      </c>
      <c r="M7" s="70">
        <v>44.6</v>
      </c>
      <c r="N7" s="70">
        <v>44.4</v>
      </c>
      <c r="O7" s="79">
        <f t="shared" si="2"/>
        <v>1.0045045045045045</v>
      </c>
      <c r="P7" s="73"/>
      <c r="Q7" s="73"/>
      <c r="R7" s="73"/>
    </row>
    <row r="8" spans="1:18" ht="17.25" customHeight="1">
      <c r="A8" s="10" t="s">
        <v>43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79">
        <f t="shared" si="1"/>
        <v>0</v>
      </c>
      <c r="J8" s="79">
        <f t="shared" si="4"/>
        <v>0</v>
      </c>
      <c r="K8" s="73"/>
      <c r="L8" s="79">
        <f>IF(K8&gt;0,H8/K8,0)</f>
        <v>0</v>
      </c>
      <c r="M8" s="73"/>
      <c r="N8" s="73"/>
      <c r="O8" s="79">
        <f>IF(N8&gt;0,M8/N8,0)</f>
        <v>0</v>
      </c>
      <c r="P8" s="73"/>
      <c r="Q8" s="73"/>
      <c r="R8" s="73"/>
    </row>
    <row r="9" spans="1:18" ht="17.25" customHeight="1">
      <c r="A9" s="10" t="s">
        <v>42</v>
      </c>
      <c r="B9" s="13">
        <v>1010203001</v>
      </c>
      <c r="C9" s="73">
        <v>9.1</v>
      </c>
      <c r="D9" s="73"/>
      <c r="E9" s="73">
        <f>C9+D9</f>
        <v>9.1</v>
      </c>
      <c r="F9" s="73"/>
      <c r="G9" s="73"/>
      <c r="H9" s="70">
        <f>G9+M9</f>
        <v>0</v>
      </c>
      <c r="I9" s="79">
        <f t="shared" si="1"/>
        <v>0</v>
      </c>
      <c r="J9" s="79">
        <f t="shared" si="4"/>
        <v>0</v>
      </c>
      <c r="K9" s="73">
        <v>0.2</v>
      </c>
      <c r="L9" s="79">
        <f t="shared" si="3"/>
        <v>0</v>
      </c>
      <c r="M9" s="73"/>
      <c r="N9" s="73">
        <v>0.2</v>
      </c>
      <c r="O9" s="79">
        <f t="shared" si="2"/>
        <v>0</v>
      </c>
      <c r="P9" s="73">
        <v>0.2</v>
      </c>
      <c r="Q9" s="73">
        <v>0.2</v>
      </c>
      <c r="R9" s="73">
        <v>0.2</v>
      </c>
    </row>
    <row r="10" spans="1:18" ht="18" customHeight="1">
      <c r="A10" s="11" t="s">
        <v>48</v>
      </c>
      <c r="B10" s="19">
        <v>1030200001</v>
      </c>
      <c r="C10" s="74">
        <f aca="true" t="shared" si="5" ref="C10:H10">SUM(C11:C14)</f>
        <v>440.2</v>
      </c>
      <c r="D10" s="74">
        <f t="shared" si="5"/>
        <v>0</v>
      </c>
      <c r="E10" s="74">
        <f t="shared" si="5"/>
        <v>440.2</v>
      </c>
      <c r="F10" s="74"/>
      <c r="G10" s="74">
        <f>SUM(G11:G14)</f>
        <v>112.6</v>
      </c>
      <c r="H10" s="74">
        <f t="shared" si="5"/>
        <v>162.3</v>
      </c>
      <c r="I10" s="68">
        <f t="shared" si="1"/>
        <v>0.3686960472512495</v>
      </c>
      <c r="J10" s="68">
        <f>IF(F10&gt;0,H10/F10,0)</f>
        <v>0</v>
      </c>
      <c r="K10" s="74">
        <f>SUM(K11:K14)</f>
        <v>128.6</v>
      </c>
      <c r="L10" s="68">
        <f t="shared" si="3"/>
        <v>1.2620528771384139</v>
      </c>
      <c r="M10" s="74">
        <f>SUM(M11:M14)</f>
        <v>49.699999999999996</v>
      </c>
      <c r="N10" s="74">
        <f>SUM(N11:N14)</f>
        <v>68.5</v>
      </c>
      <c r="O10" s="68">
        <f t="shared" si="2"/>
        <v>0.7255474452554744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9.5" customHeight="1">
      <c r="A11" s="12" t="s">
        <v>49</v>
      </c>
      <c r="B11" s="12">
        <v>1030223101</v>
      </c>
      <c r="C11" s="73">
        <v>163.8</v>
      </c>
      <c r="D11" s="73"/>
      <c r="E11" s="69">
        <f>C11+D11</f>
        <v>163.8</v>
      </c>
      <c r="F11" s="69"/>
      <c r="G11" s="73">
        <v>49.9</v>
      </c>
      <c r="H11" s="71">
        <f>G11+M11</f>
        <v>71.3</v>
      </c>
      <c r="I11" s="72">
        <f t="shared" si="1"/>
        <v>0.43528693528693524</v>
      </c>
      <c r="J11" s="72"/>
      <c r="K11" s="73">
        <v>53</v>
      </c>
      <c r="L11" s="72">
        <f t="shared" si="3"/>
        <v>1.3452830188679246</v>
      </c>
      <c r="M11" s="73">
        <v>21.4</v>
      </c>
      <c r="N11" s="73">
        <v>27.8</v>
      </c>
      <c r="O11" s="72">
        <f t="shared" si="2"/>
        <v>0.7697841726618704</v>
      </c>
      <c r="P11" s="73"/>
      <c r="Q11" s="73"/>
      <c r="R11" s="73"/>
    </row>
    <row r="12" spans="1:18" ht="17.25" customHeight="1">
      <c r="A12" s="12" t="s">
        <v>50</v>
      </c>
      <c r="B12" s="12">
        <v>1030224101</v>
      </c>
      <c r="C12" s="73">
        <v>0.8</v>
      </c>
      <c r="D12" s="73"/>
      <c r="E12" s="69">
        <f>C12+D12</f>
        <v>0.8</v>
      </c>
      <c r="F12" s="69"/>
      <c r="G12" s="73">
        <v>0.3</v>
      </c>
      <c r="H12" s="71">
        <f>G12+M12</f>
        <v>0.5</v>
      </c>
      <c r="I12" s="72">
        <f t="shared" si="1"/>
        <v>0.625</v>
      </c>
      <c r="J12" s="72"/>
      <c r="K12" s="73">
        <v>0.3</v>
      </c>
      <c r="L12" s="72">
        <f t="shared" si="3"/>
        <v>1.6666666666666667</v>
      </c>
      <c r="M12" s="73">
        <v>0.2</v>
      </c>
      <c r="N12" s="73">
        <v>0.2</v>
      </c>
      <c r="O12" s="72">
        <f t="shared" si="2"/>
        <v>1</v>
      </c>
      <c r="P12" s="73"/>
      <c r="Q12" s="73"/>
      <c r="R12" s="73"/>
    </row>
    <row r="13" spans="1:18" ht="18" customHeight="1">
      <c r="A13" s="12" t="s">
        <v>90</v>
      </c>
      <c r="B13" s="12">
        <v>1030225101</v>
      </c>
      <c r="C13" s="73">
        <v>297.9</v>
      </c>
      <c r="D13" s="73"/>
      <c r="E13" s="69">
        <f>C13+D13</f>
        <v>297.9</v>
      </c>
      <c r="F13" s="69"/>
      <c r="G13" s="73">
        <v>73.3</v>
      </c>
      <c r="H13" s="71">
        <f>G13+M13</f>
        <v>104.5</v>
      </c>
      <c r="I13" s="72">
        <f t="shared" si="1"/>
        <v>0.3507888553205774</v>
      </c>
      <c r="J13" s="72"/>
      <c r="K13" s="73">
        <v>86.2</v>
      </c>
      <c r="L13" s="72">
        <f t="shared" si="3"/>
        <v>1.2122969837587008</v>
      </c>
      <c r="M13" s="73">
        <v>31.2</v>
      </c>
      <c r="N13" s="73">
        <v>45.1</v>
      </c>
      <c r="O13" s="72">
        <f t="shared" si="2"/>
        <v>0.6917960088691796</v>
      </c>
      <c r="P13" s="73"/>
      <c r="Q13" s="73"/>
      <c r="R13" s="73"/>
    </row>
    <row r="14" spans="1:18" ht="17.25" customHeight="1">
      <c r="A14" s="12" t="s">
        <v>52</v>
      </c>
      <c r="B14" s="12">
        <v>1030226101</v>
      </c>
      <c r="C14" s="73">
        <v>-22.3</v>
      </c>
      <c r="D14" s="73"/>
      <c r="E14" s="69">
        <f>C14+D14</f>
        <v>-22.3</v>
      </c>
      <c r="F14" s="69"/>
      <c r="G14" s="73">
        <v>-10.9</v>
      </c>
      <c r="H14" s="71">
        <f>G14+M14</f>
        <v>-14</v>
      </c>
      <c r="I14" s="72">
        <f>H14/E14</f>
        <v>0.6278026905829596</v>
      </c>
      <c r="J14" s="72"/>
      <c r="K14" s="73">
        <v>-10.9</v>
      </c>
      <c r="L14" s="72">
        <f t="shared" si="3"/>
        <v>0</v>
      </c>
      <c r="M14" s="73">
        <v>-3.1</v>
      </c>
      <c r="N14" s="73">
        <v>-4.6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6" ref="C15:H15">C16</f>
        <v>0</v>
      </c>
      <c r="D15" s="75">
        <f t="shared" si="6"/>
        <v>0</v>
      </c>
      <c r="E15" s="75">
        <f t="shared" si="6"/>
        <v>0</v>
      </c>
      <c r="F15" s="75">
        <f t="shared" si="6"/>
        <v>0</v>
      </c>
      <c r="G15" s="74">
        <f>G16</f>
        <v>0</v>
      </c>
      <c r="H15" s="75">
        <f t="shared" si="6"/>
        <v>0</v>
      </c>
      <c r="I15" s="89">
        <f t="shared" si="1"/>
        <v>0</v>
      </c>
      <c r="J15" s="89">
        <f t="shared" si="4"/>
        <v>0</v>
      </c>
      <c r="K15" s="74">
        <f>K16</f>
        <v>0</v>
      </c>
      <c r="L15" s="89">
        <f t="shared" si="3"/>
        <v>0</v>
      </c>
      <c r="M15" s="74">
        <f>M16</f>
        <v>0</v>
      </c>
      <c r="N15" s="74">
        <f>N16</f>
        <v>0</v>
      </c>
      <c r="O15" s="89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/>
      <c r="D16" s="70"/>
      <c r="E16" s="73">
        <f>C16+D16</f>
        <v>0</v>
      </c>
      <c r="F16" s="73"/>
      <c r="G16" s="73"/>
      <c r="H16" s="70">
        <f>G16+M16</f>
        <v>0</v>
      </c>
      <c r="I16" s="79">
        <f t="shared" si="1"/>
        <v>0</v>
      </c>
      <c r="J16" s="79">
        <f t="shared" si="4"/>
        <v>0</v>
      </c>
      <c r="K16" s="73"/>
      <c r="L16" s="79">
        <f t="shared" si="3"/>
        <v>0</v>
      </c>
      <c r="M16" s="73"/>
      <c r="N16" s="73"/>
      <c r="O16" s="79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7" ref="C17:H17">C18+C21</f>
        <v>160</v>
      </c>
      <c r="D17" s="75">
        <f t="shared" si="7"/>
        <v>0</v>
      </c>
      <c r="E17" s="75">
        <f t="shared" si="7"/>
        <v>160</v>
      </c>
      <c r="F17" s="75">
        <f t="shared" si="7"/>
        <v>0</v>
      </c>
      <c r="G17" s="74">
        <f>G18+G21</f>
        <v>44</v>
      </c>
      <c r="H17" s="75">
        <f t="shared" si="7"/>
        <v>52.8</v>
      </c>
      <c r="I17" s="89">
        <f t="shared" si="1"/>
        <v>0.32999999999999996</v>
      </c>
      <c r="J17" s="89">
        <f t="shared" si="4"/>
        <v>0</v>
      </c>
      <c r="K17" s="74">
        <f>K18+K21</f>
        <v>15.2</v>
      </c>
      <c r="L17" s="89">
        <f t="shared" si="3"/>
        <v>3.473684210526316</v>
      </c>
      <c r="M17" s="74">
        <f>M18+M21</f>
        <v>8.8</v>
      </c>
      <c r="N17" s="74">
        <f>N18+N21</f>
        <v>7.6000000000000005</v>
      </c>
      <c r="O17" s="89">
        <f t="shared" si="2"/>
        <v>1.1578947368421053</v>
      </c>
      <c r="P17" s="74">
        <f>P18+P21</f>
        <v>48.2</v>
      </c>
      <c r="Q17" s="74">
        <f>Q18+Q21</f>
        <v>77.7</v>
      </c>
      <c r="R17" s="74">
        <f>R18+R21</f>
        <v>76.5</v>
      </c>
    </row>
    <row r="18" spans="1:18" ht="18">
      <c r="A18" s="13" t="s">
        <v>13</v>
      </c>
      <c r="B18" s="13">
        <v>1060600000</v>
      </c>
      <c r="C18" s="73">
        <f aca="true" t="shared" si="8" ref="C18:H18">C19+C20</f>
        <v>117</v>
      </c>
      <c r="D18" s="70">
        <f t="shared" si="8"/>
        <v>0</v>
      </c>
      <c r="E18" s="70">
        <f t="shared" si="8"/>
        <v>117</v>
      </c>
      <c r="F18" s="70">
        <f t="shared" si="8"/>
        <v>0</v>
      </c>
      <c r="G18" s="73">
        <f>G19+G20</f>
        <v>43.5</v>
      </c>
      <c r="H18" s="70">
        <f t="shared" si="8"/>
        <v>44</v>
      </c>
      <c r="I18" s="79">
        <f t="shared" si="1"/>
        <v>0.37606837606837606</v>
      </c>
      <c r="J18" s="79">
        <f t="shared" si="4"/>
        <v>0</v>
      </c>
      <c r="K18" s="73">
        <f>K19+K20</f>
        <v>19</v>
      </c>
      <c r="L18" s="79">
        <f t="shared" si="3"/>
        <v>2.3157894736842106</v>
      </c>
      <c r="M18" s="73">
        <f>M19+M20</f>
        <v>0.5</v>
      </c>
      <c r="N18" s="73">
        <f>N19+N20</f>
        <v>7.4</v>
      </c>
      <c r="O18" s="79">
        <f t="shared" si="2"/>
        <v>0.06756756756756756</v>
      </c>
      <c r="P18" s="73">
        <f>P19+P20</f>
        <v>40.7</v>
      </c>
      <c r="Q18" s="73">
        <f>Q19+Q20</f>
        <v>70.8</v>
      </c>
      <c r="R18" s="73">
        <f>R19+R20</f>
        <v>70.6</v>
      </c>
    </row>
    <row r="19" spans="1:18" ht="18">
      <c r="A19" s="13" t="s">
        <v>100</v>
      </c>
      <c r="B19" s="13">
        <v>1060603310</v>
      </c>
      <c r="C19" s="73">
        <v>68</v>
      </c>
      <c r="D19" s="70"/>
      <c r="E19" s="73">
        <f>C19+D19</f>
        <v>68</v>
      </c>
      <c r="F19" s="73"/>
      <c r="G19" s="73">
        <v>42.9</v>
      </c>
      <c r="H19" s="70">
        <f>G19+M19</f>
        <v>43.3</v>
      </c>
      <c r="I19" s="79">
        <f t="shared" si="1"/>
        <v>0.6367647058823529</v>
      </c>
      <c r="J19" s="79">
        <f t="shared" si="4"/>
        <v>0</v>
      </c>
      <c r="K19" s="73">
        <v>10.8</v>
      </c>
      <c r="L19" s="79">
        <f t="shared" si="3"/>
        <v>4.009259259259259</v>
      </c>
      <c r="M19" s="73">
        <v>0.4</v>
      </c>
      <c r="N19" s="73">
        <v>0.4</v>
      </c>
      <c r="O19" s="79">
        <f t="shared" si="2"/>
        <v>1</v>
      </c>
      <c r="P19" s="73">
        <v>16.1</v>
      </c>
      <c r="Q19" s="73">
        <v>48.5</v>
      </c>
      <c r="R19" s="73">
        <v>48.3</v>
      </c>
    </row>
    <row r="20" spans="1:18" ht="18">
      <c r="A20" s="13" t="s">
        <v>101</v>
      </c>
      <c r="B20" s="13">
        <v>1060604310</v>
      </c>
      <c r="C20" s="73">
        <v>49</v>
      </c>
      <c r="D20" s="70"/>
      <c r="E20" s="73">
        <f>C20+D20</f>
        <v>49</v>
      </c>
      <c r="F20" s="73"/>
      <c r="G20" s="73">
        <v>0.6</v>
      </c>
      <c r="H20" s="70">
        <f>G20+M20</f>
        <v>0.7</v>
      </c>
      <c r="I20" s="79">
        <f t="shared" si="1"/>
        <v>0.014285714285714285</v>
      </c>
      <c r="J20" s="79">
        <f t="shared" si="4"/>
        <v>0</v>
      </c>
      <c r="K20" s="73">
        <v>8.2</v>
      </c>
      <c r="L20" s="79">
        <f t="shared" si="3"/>
        <v>0.08536585365853659</v>
      </c>
      <c r="M20" s="73">
        <v>0.1</v>
      </c>
      <c r="N20" s="73">
        <v>7</v>
      </c>
      <c r="O20" s="79">
        <f t="shared" si="2"/>
        <v>0.014285714285714287</v>
      </c>
      <c r="P20" s="73">
        <v>24.6</v>
      </c>
      <c r="Q20" s="73">
        <v>22.3</v>
      </c>
      <c r="R20" s="73">
        <v>22.3</v>
      </c>
    </row>
    <row r="21" spans="1:20" ht="18">
      <c r="A21" s="13" t="s">
        <v>12</v>
      </c>
      <c r="B21" s="13">
        <v>1060103010</v>
      </c>
      <c r="C21" s="73">
        <v>43</v>
      </c>
      <c r="D21" s="70"/>
      <c r="E21" s="73">
        <f>C21+D21</f>
        <v>43</v>
      </c>
      <c r="F21" s="73"/>
      <c r="G21" s="73">
        <v>0.5</v>
      </c>
      <c r="H21" s="70">
        <f>G21+M21</f>
        <v>8.8</v>
      </c>
      <c r="I21" s="79">
        <f t="shared" si="1"/>
        <v>0.2046511627906977</v>
      </c>
      <c r="J21" s="79">
        <f t="shared" si="4"/>
        <v>0</v>
      </c>
      <c r="K21" s="73">
        <v>-3.8</v>
      </c>
      <c r="L21" s="79">
        <f t="shared" si="3"/>
        <v>0</v>
      </c>
      <c r="M21" s="73">
        <v>8.3</v>
      </c>
      <c r="N21" s="73">
        <v>0.2</v>
      </c>
      <c r="O21" s="79">
        <f t="shared" si="2"/>
        <v>41.5</v>
      </c>
      <c r="P21" s="73">
        <v>7.5</v>
      </c>
      <c r="Q21" s="73">
        <v>6.9</v>
      </c>
      <c r="R21" s="73">
        <v>5.9</v>
      </c>
      <c r="S21" s="132"/>
      <c r="T21" s="163"/>
    </row>
    <row r="22" spans="1:18" ht="18">
      <c r="A22" s="9" t="s">
        <v>72</v>
      </c>
      <c r="B22" s="30">
        <v>1080402001</v>
      </c>
      <c r="C22" s="74">
        <v>3</v>
      </c>
      <c r="D22" s="75"/>
      <c r="E22" s="74">
        <f>C22+D22</f>
        <v>3</v>
      </c>
      <c r="F22" s="74"/>
      <c r="G22" s="74">
        <v>1.1</v>
      </c>
      <c r="H22" s="75">
        <f>G22+M22</f>
        <v>2</v>
      </c>
      <c r="I22" s="89">
        <f t="shared" si="1"/>
        <v>0.6666666666666666</v>
      </c>
      <c r="J22" s="89">
        <f t="shared" si="4"/>
        <v>0</v>
      </c>
      <c r="K22" s="74">
        <v>-1.9</v>
      </c>
      <c r="L22" s="89">
        <f t="shared" si="3"/>
        <v>0</v>
      </c>
      <c r="M22" s="74">
        <v>0.9</v>
      </c>
      <c r="N22" s="74">
        <v>0.4</v>
      </c>
      <c r="O22" s="89">
        <f t="shared" si="2"/>
        <v>2.25</v>
      </c>
      <c r="P22" s="74"/>
      <c r="Q22" s="74"/>
      <c r="R22" s="74"/>
    </row>
    <row r="23" spans="1:18" ht="18" hidden="1">
      <c r="A23" s="9" t="s">
        <v>73</v>
      </c>
      <c r="B23" s="30">
        <v>1090405010</v>
      </c>
      <c r="C23" s="74"/>
      <c r="D23" s="74"/>
      <c r="E23" s="74">
        <f>C23+D23</f>
        <v>0</v>
      </c>
      <c r="F23" s="74"/>
      <c r="G23" s="74"/>
      <c r="H23" s="75">
        <f>G23+M23</f>
        <v>0</v>
      </c>
      <c r="I23" s="89">
        <f t="shared" si="1"/>
        <v>0</v>
      </c>
      <c r="J23" s="89">
        <f t="shared" si="4"/>
        <v>0</v>
      </c>
      <c r="K23" s="74"/>
      <c r="L23" s="89">
        <f t="shared" si="3"/>
        <v>0</v>
      </c>
      <c r="M23" s="74"/>
      <c r="N23" s="74"/>
      <c r="O23" s="89">
        <f t="shared" si="2"/>
        <v>0</v>
      </c>
      <c r="P23" s="74"/>
      <c r="Q23" s="74"/>
      <c r="R23" s="74"/>
    </row>
    <row r="24" spans="1:18" ht="18">
      <c r="A24" s="32" t="s">
        <v>22</v>
      </c>
      <c r="B24" s="32"/>
      <c r="C24" s="88">
        <f aca="true" t="shared" si="9" ref="C24:H24">C25+C29+C33+C31+C32+C30</f>
        <v>217.9</v>
      </c>
      <c r="D24" s="88">
        <f t="shared" si="9"/>
        <v>439.916</v>
      </c>
      <c r="E24" s="88">
        <f t="shared" si="9"/>
        <v>657.816</v>
      </c>
      <c r="F24" s="88">
        <f t="shared" si="9"/>
        <v>0</v>
      </c>
      <c r="G24" s="88">
        <f>G25+G29+G33+G31+G32+G30</f>
        <v>18.2</v>
      </c>
      <c r="H24" s="88">
        <f t="shared" si="9"/>
        <v>29</v>
      </c>
      <c r="I24" s="92">
        <f t="shared" si="1"/>
        <v>0.04408527612584674</v>
      </c>
      <c r="J24" s="92">
        <f t="shared" si="4"/>
        <v>0</v>
      </c>
      <c r="K24" s="88">
        <f>K25+K29+K33+K31+K32+K30</f>
        <v>28.3</v>
      </c>
      <c r="L24" s="92">
        <f t="shared" si="3"/>
        <v>1.0247349823321554</v>
      </c>
      <c r="M24" s="88">
        <f>M25+M29+M33+M31+M32+M30</f>
        <v>10.8</v>
      </c>
      <c r="N24" s="88">
        <f>N25+N29+N33+N31+N32+N30</f>
        <v>12.3</v>
      </c>
      <c r="O24" s="92">
        <f t="shared" si="2"/>
        <v>0.8780487804878049</v>
      </c>
      <c r="P24" s="78">
        <f>P25+P29+P32</f>
        <v>0</v>
      </c>
      <c r="Q24" s="78">
        <f>Q25+Q29+Q32</f>
        <v>0</v>
      </c>
      <c r="R24" s="78">
        <f>R25+R29+R32</f>
        <v>0</v>
      </c>
    </row>
    <row r="25" spans="1:18" ht="18">
      <c r="A25" s="9" t="s">
        <v>74</v>
      </c>
      <c r="B25" s="30">
        <v>1110000000</v>
      </c>
      <c r="C25" s="74">
        <f aca="true" t="shared" si="10" ref="C25:H25">C26+C28+C27</f>
        <v>47</v>
      </c>
      <c r="D25" s="74">
        <f t="shared" si="10"/>
        <v>0</v>
      </c>
      <c r="E25" s="74">
        <f t="shared" si="10"/>
        <v>47</v>
      </c>
      <c r="F25" s="74">
        <f t="shared" si="10"/>
        <v>0</v>
      </c>
      <c r="G25" s="74">
        <f>G26+G28+G27</f>
        <v>3.8</v>
      </c>
      <c r="H25" s="74">
        <f t="shared" si="10"/>
        <v>5.6</v>
      </c>
      <c r="I25" s="89">
        <f t="shared" si="1"/>
        <v>0.11914893617021276</v>
      </c>
      <c r="J25" s="89">
        <f t="shared" si="4"/>
        <v>0</v>
      </c>
      <c r="K25" s="74">
        <f>K26+K28+K27</f>
        <v>10.5</v>
      </c>
      <c r="L25" s="89">
        <f t="shared" si="3"/>
        <v>0.5333333333333333</v>
      </c>
      <c r="M25" s="74">
        <f>M26+M28+M27</f>
        <v>1.8</v>
      </c>
      <c r="N25" s="74">
        <f>N26+N28+N27</f>
        <v>1.8</v>
      </c>
      <c r="O25" s="89">
        <f t="shared" si="2"/>
        <v>1</v>
      </c>
      <c r="P25" s="74">
        <f>P26+P28+P27</f>
        <v>0</v>
      </c>
      <c r="Q25" s="74">
        <f>Q26+Q28+Q27</f>
        <v>0</v>
      </c>
      <c r="R25" s="74">
        <f>R26+R28+R27</f>
        <v>0</v>
      </c>
    </row>
    <row r="26" spans="1:18" ht="0.75" customHeight="1">
      <c r="A26" s="13" t="s">
        <v>26</v>
      </c>
      <c r="B26" s="13">
        <v>1110501013</v>
      </c>
      <c r="C26" s="73"/>
      <c r="D26" s="70"/>
      <c r="E26" s="73">
        <f aca="true" t="shared" si="11" ref="E26:E32">C26+D26</f>
        <v>0</v>
      </c>
      <c r="F26" s="73"/>
      <c r="G26" s="73"/>
      <c r="H26" s="70">
        <f aca="true" t="shared" si="12" ref="H26:H32">G26+M26</f>
        <v>0</v>
      </c>
      <c r="I26" s="79">
        <f t="shared" si="1"/>
        <v>0</v>
      </c>
      <c r="J26" s="79">
        <f t="shared" si="4"/>
        <v>0</v>
      </c>
      <c r="K26" s="73"/>
      <c r="L26" s="79">
        <f t="shared" si="3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21" customHeight="1" hidden="1">
      <c r="A27" s="13" t="s">
        <v>27</v>
      </c>
      <c r="B27" s="13">
        <v>1110903510</v>
      </c>
      <c r="C27" s="73"/>
      <c r="D27" s="70"/>
      <c r="E27" s="73">
        <f t="shared" si="11"/>
        <v>0</v>
      </c>
      <c r="F27" s="73"/>
      <c r="G27" s="73"/>
      <c r="H27" s="70">
        <f t="shared" si="12"/>
        <v>0</v>
      </c>
      <c r="I27" s="79">
        <f t="shared" si="1"/>
        <v>0</v>
      </c>
      <c r="J27" s="79">
        <f t="shared" si="4"/>
        <v>0</v>
      </c>
      <c r="K27" s="73"/>
      <c r="L27" s="79">
        <f t="shared" si="3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22.5" customHeight="1">
      <c r="A28" s="33" t="s">
        <v>23</v>
      </c>
      <c r="B28" s="13">
        <v>1110904510</v>
      </c>
      <c r="C28" s="73">
        <v>47</v>
      </c>
      <c r="D28" s="70"/>
      <c r="E28" s="73">
        <f t="shared" si="11"/>
        <v>47</v>
      </c>
      <c r="F28" s="73"/>
      <c r="G28" s="73">
        <v>3.8</v>
      </c>
      <c r="H28" s="70">
        <f t="shared" si="12"/>
        <v>5.6</v>
      </c>
      <c r="I28" s="79">
        <f t="shared" si="1"/>
        <v>0.11914893617021276</v>
      </c>
      <c r="J28" s="79">
        <f t="shared" si="4"/>
        <v>0</v>
      </c>
      <c r="K28" s="73">
        <v>10.5</v>
      </c>
      <c r="L28" s="79">
        <f t="shared" si="3"/>
        <v>0.5333333333333333</v>
      </c>
      <c r="M28" s="73">
        <v>1.8</v>
      </c>
      <c r="N28" s="73">
        <v>1.8</v>
      </c>
      <c r="O28" s="79">
        <f t="shared" si="2"/>
        <v>1</v>
      </c>
      <c r="P28" s="73"/>
      <c r="Q28" s="73"/>
      <c r="R28" s="73"/>
    </row>
    <row r="29" spans="1:18" ht="18">
      <c r="A29" s="9" t="s">
        <v>38</v>
      </c>
      <c r="B29" s="30">
        <v>1130299510</v>
      </c>
      <c r="C29" s="74">
        <v>170.9</v>
      </c>
      <c r="D29" s="74">
        <v>439.916</v>
      </c>
      <c r="E29" s="74">
        <f t="shared" si="11"/>
        <v>610.816</v>
      </c>
      <c r="F29" s="74"/>
      <c r="G29" s="74">
        <v>14.4</v>
      </c>
      <c r="H29" s="75">
        <f t="shared" si="12"/>
        <v>23.3</v>
      </c>
      <c r="I29" s="89">
        <f t="shared" si="1"/>
        <v>0.03814569362950545</v>
      </c>
      <c r="J29" s="89">
        <f t="shared" si="4"/>
        <v>0</v>
      </c>
      <c r="K29" s="74">
        <v>17.8</v>
      </c>
      <c r="L29" s="89">
        <f t="shared" si="3"/>
        <v>1.3089887640449438</v>
      </c>
      <c r="M29" s="74">
        <v>8.9</v>
      </c>
      <c r="N29" s="74">
        <v>10.5</v>
      </c>
      <c r="O29" s="89">
        <f t="shared" si="2"/>
        <v>0.8476190476190476</v>
      </c>
      <c r="P29" s="74"/>
      <c r="Q29" s="74"/>
      <c r="R29" s="74"/>
    </row>
    <row r="30" spans="1:18" ht="18">
      <c r="A30" s="9" t="s">
        <v>45</v>
      </c>
      <c r="B30" s="30">
        <v>1140205310</v>
      </c>
      <c r="C30" s="74"/>
      <c r="D30" s="74"/>
      <c r="E30" s="74">
        <f t="shared" si="11"/>
        <v>0</v>
      </c>
      <c r="F30" s="74"/>
      <c r="G30" s="74"/>
      <c r="H30" s="75">
        <f t="shared" si="12"/>
        <v>0</v>
      </c>
      <c r="I30" s="89">
        <f t="shared" si="1"/>
        <v>0</v>
      </c>
      <c r="J30" s="89"/>
      <c r="K30" s="74"/>
      <c r="L30" s="89">
        <f t="shared" si="3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78</v>
      </c>
      <c r="B31" s="30">
        <v>1140601410</v>
      </c>
      <c r="C31" s="74"/>
      <c r="D31" s="74"/>
      <c r="E31" s="74">
        <f t="shared" si="11"/>
        <v>0</v>
      </c>
      <c r="F31" s="74"/>
      <c r="G31" s="74"/>
      <c r="H31" s="75">
        <f t="shared" si="12"/>
        <v>0</v>
      </c>
      <c r="I31" s="89">
        <f t="shared" si="1"/>
        <v>0</v>
      </c>
      <c r="J31" s="89">
        <f t="shared" si="4"/>
        <v>0</v>
      </c>
      <c r="K31" s="74"/>
      <c r="L31" s="89">
        <f t="shared" si="3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77</v>
      </c>
      <c r="B32" s="30">
        <v>1169005010</v>
      </c>
      <c r="C32" s="74"/>
      <c r="D32" s="74"/>
      <c r="E32" s="74">
        <f t="shared" si="11"/>
        <v>0</v>
      </c>
      <c r="F32" s="74"/>
      <c r="G32" s="74"/>
      <c r="H32" s="75">
        <f t="shared" si="12"/>
        <v>0</v>
      </c>
      <c r="I32" s="89">
        <f>IF(E32&gt;0,H32/E32,0)</f>
        <v>0</v>
      </c>
      <c r="J32" s="89">
        <f>IF(F32&gt;0,H32/F32,0)</f>
        <v>0</v>
      </c>
      <c r="K32" s="74"/>
      <c r="L32" s="89">
        <f t="shared" si="3"/>
        <v>0</v>
      </c>
      <c r="M32" s="74"/>
      <c r="N32" s="74"/>
      <c r="O32" s="89">
        <f t="shared" si="2"/>
        <v>0</v>
      </c>
      <c r="P32" s="74"/>
      <c r="Q32" s="74"/>
      <c r="R32" s="74"/>
    </row>
    <row r="33" spans="1:18" ht="18">
      <c r="A33" s="9" t="s">
        <v>69</v>
      </c>
      <c r="B33" s="30">
        <v>1170000000</v>
      </c>
      <c r="C33" s="75">
        <f aca="true" t="shared" si="13" ref="C33:H33">SUM(C34:C35)</f>
        <v>0</v>
      </c>
      <c r="D33" s="75">
        <f t="shared" si="13"/>
        <v>0</v>
      </c>
      <c r="E33" s="75">
        <f t="shared" si="13"/>
        <v>0</v>
      </c>
      <c r="F33" s="75">
        <f t="shared" si="13"/>
        <v>0</v>
      </c>
      <c r="G33" s="75">
        <f>SUM(G34:G35)</f>
        <v>0</v>
      </c>
      <c r="H33" s="75">
        <f t="shared" si="13"/>
        <v>0.1</v>
      </c>
      <c r="I33" s="89">
        <f>IF(E33&gt;0,H33/E33,0)</f>
        <v>0</v>
      </c>
      <c r="J33" s="89">
        <f>IF(F33&gt;0,H33/F33,0)</f>
        <v>0</v>
      </c>
      <c r="K33" s="75">
        <f>SUM(K34:K35)</f>
        <v>0</v>
      </c>
      <c r="L33" s="89">
        <f t="shared" si="3"/>
        <v>0</v>
      </c>
      <c r="M33" s="75">
        <f>SUM(M34:M35)</f>
        <v>0.1</v>
      </c>
      <c r="N33" s="75">
        <f>SUM(N34:N35)</f>
        <v>0</v>
      </c>
      <c r="O33" s="89">
        <f t="shared" si="2"/>
        <v>0</v>
      </c>
      <c r="P33" s="75">
        <f>SUM(P34:P35)</f>
        <v>0</v>
      </c>
      <c r="Q33" s="75">
        <f>SUM(Q34:Q35)</f>
        <v>0</v>
      </c>
      <c r="R33" s="75">
        <f>SUM(R34:R35)</f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79">
        <f t="shared" si="1"/>
        <v>0</v>
      </c>
      <c r="J34" s="79">
        <f t="shared" si="4"/>
        <v>0</v>
      </c>
      <c r="K34" s="73"/>
      <c r="L34" s="79">
        <f t="shared" si="3"/>
        <v>0</v>
      </c>
      <c r="M34" s="73"/>
      <c r="N34" s="73"/>
      <c r="O34" s="79">
        <f aca="true" t="shared" si="14" ref="O34:O40">IF(N34&gt;0,M34/N34,0)</f>
        <v>0</v>
      </c>
      <c r="P34" s="79"/>
      <c r="Q34" s="79"/>
      <c r="R34" s="79"/>
    </row>
    <row r="35" spans="1:18" ht="18">
      <c r="A35" s="13" t="s">
        <v>33</v>
      </c>
      <c r="B35" s="13">
        <v>1170505010</v>
      </c>
      <c r="C35" s="73"/>
      <c r="D35" s="70"/>
      <c r="E35" s="73">
        <f>C35+D35</f>
        <v>0</v>
      </c>
      <c r="F35" s="73"/>
      <c r="G35" s="73"/>
      <c r="H35" s="70">
        <f>G35+M35</f>
        <v>0.1</v>
      </c>
      <c r="I35" s="79">
        <f>IF(E35&gt;0,H35/E35,0)</f>
        <v>0</v>
      </c>
      <c r="J35" s="79">
        <f>IF(F35&gt;0,H35/F35,0)</f>
        <v>0</v>
      </c>
      <c r="K35" s="73"/>
      <c r="L35" s="79">
        <f>IF(K35&gt;0,H35/K35,0)</f>
        <v>0</v>
      </c>
      <c r="M35" s="73">
        <v>0.1</v>
      </c>
      <c r="N35" s="73"/>
      <c r="O35" s="79">
        <f t="shared" si="14"/>
        <v>0</v>
      </c>
      <c r="P35" s="73"/>
      <c r="Q35" s="73"/>
      <c r="R35" s="73"/>
    </row>
    <row r="36" spans="1:20" ht="18">
      <c r="A36" s="9" t="s">
        <v>6</v>
      </c>
      <c r="B36" s="9">
        <v>1000000000</v>
      </c>
      <c r="C36" s="81">
        <f aca="true" t="shared" si="15" ref="C36:H36">C5+C24</f>
        <v>1391.2</v>
      </c>
      <c r="D36" s="80">
        <f t="shared" si="15"/>
        <v>439.916</v>
      </c>
      <c r="E36" s="80">
        <f t="shared" si="15"/>
        <v>1831.116</v>
      </c>
      <c r="F36" s="81" t="e">
        <f t="shared" si="15"/>
        <v>#REF!</v>
      </c>
      <c r="G36" s="81">
        <f>G5+G24</f>
        <v>280.99999999999994</v>
      </c>
      <c r="H36" s="81">
        <f t="shared" si="15"/>
        <v>395.8</v>
      </c>
      <c r="I36" s="93">
        <f t="shared" si="1"/>
        <v>0.21615233551560906</v>
      </c>
      <c r="J36" s="93" t="e">
        <f t="shared" si="4"/>
        <v>#REF!</v>
      </c>
      <c r="K36" s="81">
        <f>K5+K24</f>
        <v>289.7</v>
      </c>
      <c r="L36" s="93">
        <f t="shared" si="3"/>
        <v>1.366240938902313</v>
      </c>
      <c r="M36" s="81">
        <f>M5+M24</f>
        <v>114.8</v>
      </c>
      <c r="N36" s="81">
        <f>N5+N24</f>
        <v>133.4</v>
      </c>
      <c r="O36" s="93">
        <f t="shared" si="14"/>
        <v>0.8605697151424287</v>
      </c>
      <c r="P36" s="81">
        <f>P5+P24</f>
        <v>48.400000000000006</v>
      </c>
      <c r="Q36" s="81">
        <f>Q5+Q24</f>
        <v>77.9</v>
      </c>
      <c r="R36" s="81">
        <f>R5+R24</f>
        <v>76.7</v>
      </c>
      <c r="S36" s="166"/>
      <c r="T36" s="163"/>
    </row>
    <row r="37" spans="1:18" ht="18">
      <c r="A37" s="9" t="s">
        <v>92</v>
      </c>
      <c r="B37" s="9"/>
      <c r="C37" s="81">
        <f aca="true" t="shared" si="16" ref="C37:H37">C36-C10</f>
        <v>951</v>
      </c>
      <c r="D37" s="80">
        <f t="shared" si="16"/>
        <v>439.916</v>
      </c>
      <c r="E37" s="80">
        <f t="shared" si="16"/>
        <v>1390.916</v>
      </c>
      <c r="F37" s="81" t="e">
        <f t="shared" si="16"/>
        <v>#REF!</v>
      </c>
      <c r="G37" s="81">
        <f>G36-G10</f>
        <v>168.39999999999995</v>
      </c>
      <c r="H37" s="81">
        <f t="shared" si="16"/>
        <v>233.5</v>
      </c>
      <c r="I37" s="93">
        <f>IF(E37&gt;0,H37/E37,0)</f>
        <v>0.1678749831046591</v>
      </c>
      <c r="J37" s="93" t="e">
        <f>IF(F37&gt;0,H37/F37,0)</f>
        <v>#REF!</v>
      </c>
      <c r="K37" s="81">
        <f>K36-K10</f>
        <v>161.1</v>
      </c>
      <c r="L37" s="93">
        <f t="shared" si="3"/>
        <v>1.4494103041589075</v>
      </c>
      <c r="M37" s="81">
        <f>M36-M10</f>
        <v>65.1</v>
      </c>
      <c r="N37" s="81">
        <f>N36-N10</f>
        <v>64.9</v>
      </c>
      <c r="O37" s="93">
        <f t="shared" si="14"/>
        <v>1.003081664098613</v>
      </c>
      <c r="P37" s="81"/>
      <c r="Q37" s="81"/>
      <c r="R37" s="81"/>
    </row>
    <row r="38" spans="1:18" ht="18">
      <c r="A38" s="13" t="s">
        <v>25</v>
      </c>
      <c r="B38" s="13">
        <v>2000000000</v>
      </c>
      <c r="C38" s="73">
        <v>2086.8</v>
      </c>
      <c r="D38" s="85">
        <f>457.425</f>
        <v>457.425</v>
      </c>
      <c r="E38" s="73">
        <f>C38+D38</f>
        <v>2544.2250000000004</v>
      </c>
      <c r="F38" s="73"/>
      <c r="G38" s="73">
        <v>498.5</v>
      </c>
      <c r="H38" s="70">
        <f>G38+M38</f>
        <v>668.8</v>
      </c>
      <c r="I38" s="79">
        <f t="shared" si="1"/>
        <v>0.2628698326602403</v>
      </c>
      <c r="J38" s="79">
        <f t="shared" si="4"/>
        <v>0</v>
      </c>
      <c r="K38" s="73">
        <v>403.6</v>
      </c>
      <c r="L38" s="79">
        <f t="shared" si="3"/>
        <v>1.6570862239841424</v>
      </c>
      <c r="M38" s="73">
        <v>170.3</v>
      </c>
      <c r="N38" s="73">
        <v>136.6</v>
      </c>
      <c r="O38" s="79">
        <f t="shared" si="14"/>
        <v>1.2467057101024892</v>
      </c>
      <c r="P38" s="73"/>
      <c r="Q38" s="73"/>
      <c r="R38" s="73"/>
    </row>
    <row r="39" spans="1:18" ht="18">
      <c r="A39" s="13" t="s">
        <v>47</v>
      </c>
      <c r="B39" s="34" t="s">
        <v>37</v>
      </c>
      <c r="C39" s="73"/>
      <c r="D39" s="84"/>
      <c r="E39" s="73">
        <f>C39+D39</f>
        <v>0</v>
      </c>
      <c r="F39" s="73"/>
      <c r="G39" s="73"/>
      <c r="H39" s="70">
        <f>G39+M39</f>
        <v>0</v>
      </c>
      <c r="I39" s="79">
        <f t="shared" si="1"/>
        <v>0</v>
      </c>
      <c r="J39" s="79"/>
      <c r="K39" s="73">
        <v>30</v>
      </c>
      <c r="L39" s="79">
        <f t="shared" si="3"/>
        <v>0</v>
      </c>
      <c r="M39" s="73"/>
      <c r="N39" s="73">
        <v>30</v>
      </c>
      <c r="O39" s="79">
        <f t="shared" si="14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90">
        <f>C36+C38+C39</f>
        <v>3478</v>
      </c>
      <c r="D40" s="80">
        <f>D36+D38+D39</f>
        <v>897.341</v>
      </c>
      <c r="E40" s="80">
        <f>E36+E38+E39</f>
        <v>4375.341</v>
      </c>
      <c r="F40" s="90" t="e">
        <f>F36+F38</f>
        <v>#REF!</v>
      </c>
      <c r="G40" s="81">
        <f>G36+G38+G39</f>
        <v>779.5</v>
      </c>
      <c r="H40" s="81">
        <f>H36+H38+H39</f>
        <v>1064.6</v>
      </c>
      <c r="I40" s="93">
        <f t="shared" si="1"/>
        <v>0.24331817794315913</v>
      </c>
      <c r="J40" s="93" t="e">
        <f t="shared" si="4"/>
        <v>#REF!</v>
      </c>
      <c r="K40" s="81">
        <f>K36+K38+K39</f>
        <v>723.3</v>
      </c>
      <c r="L40" s="93">
        <f t="shared" si="3"/>
        <v>1.4718650629061247</v>
      </c>
      <c r="M40" s="81">
        <f>M36+M38+M39</f>
        <v>285.1</v>
      </c>
      <c r="N40" s="81">
        <f>N36+N38+N39</f>
        <v>300</v>
      </c>
      <c r="O40" s="93">
        <f t="shared" si="14"/>
        <v>0.9503333333333334</v>
      </c>
      <c r="P40" s="94">
        <f>P36+P38</f>
        <v>48.400000000000006</v>
      </c>
      <c r="Q40" s="81">
        <f>Q36+Q38</f>
        <v>77.9</v>
      </c>
      <c r="R40" s="81">
        <f>R36+R38</f>
        <v>76.7</v>
      </c>
    </row>
    <row r="41" ht="18">
      <c r="I41" s="158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1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3.00390625" style="0" customWidth="1"/>
    <col min="5" max="5" width="13.87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9" t="s">
        <v>128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3.5" customHeight="1">
      <c r="A3" s="168" t="s">
        <v>3</v>
      </c>
      <c r="B3" s="168" t="s">
        <v>4</v>
      </c>
      <c r="C3" s="168" t="s">
        <v>112</v>
      </c>
      <c r="D3" s="168" t="s">
        <v>24</v>
      </c>
      <c r="E3" s="168" t="s">
        <v>113</v>
      </c>
      <c r="F3" s="168" t="s">
        <v>99</v>
      </c>
      <c r="G3" s="168" t="s">
        <v>118</v>
      </c>
      <c r="H3" s="168" t="s">
        <v>114</v>
      </c>
      <c r="I3" s="168"/>
      <c r="J3" s="168"/>
      <c r="K3" s="168" t="s">
        <v>111</v>
      </c>
      <c r="L3" s="168"/>
      <c r="M3" s="168" t="s">
        <v>121</v>
      </c>
      <c r="N3" s="168" t="s">
        <v>122</v>
      </c>
      <c r="O3" s="168" t="s">
        <v>30</v>
      </c>
      <c r="P3" s="168" t="s">
        <v>9</v>
      </c>
      <c r="Q3" s="168"/>
      <c r="R3" s="168"/>
    </row>
    <row r="4" spans="1:18" ht="93.75" customHeight="1">
      <c r="A4" s="178"/>
      <c r="B4" s="178"/>
      <c r="C4" s="168"/>
      <c r="D4" s="168"/>
      <c r="E4" s="168"/>
      <c r="F4" s="168"/>
      <c r="G4" s="168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8"/>
      <c r="N4" s="168"/>
      <c r="O4" s="168"/>
      <c r="P4" s="124" t="s">
        <v>115</v>
      </c>
      <c r="Q4" s="124" t="s">
        <v>119</v>
      </c>
      <c r="R4" s="124" t="s">
        <v>123</v>
      </c>
    </row>
    <row r="5" spans="1:18" ht="17.25" customHeight="1">
      <c r="A5" s="29" t="s">
        <v>21</v>
      </c>
      <c r="B5" s="29"/>
      <c r="C5" s="91">
        <f aca="true" t="shared" si="0" ref="C5:H5">C6+C15+C17+C22+C23+C10</f>
        <v>1620.6000000000001</v>
      </c>
      <c r="D5" s="91">
        <f t="shared" si="0"/>
        <v>13.15</v>
      </c>
      <c r="E5" s="91">
        <f t="shared" si="0"/>
        <v>1633.75</v>
      </c>
      <c r="F5" s="91">
        <f t="shared" si="0"/>
        <v>0</v>
      </c>
      <c r="G5" s="91">
        <f t="shared" si="0"/>
        <v>302.40000000000003</v>
      </c>
      <c r="H5" s="91">
        <f t="shared" si="0"/>
        <v>495.9000000000001</v>
      </c>
      <c r="I5" s="92">
        <f aca="true" t="shared" si="1" ref="I5:I39">IF(E5&gt;0,H5/E5,0)</f>
        <v>0.3035348125478195</v>
      </c>
      <c r="J5" s="92">
        <f>IF(F5&gt;0,H5/F5,0)</f>
        <v>0</v>
      </c>
      <c r="K5" s="91">
        <f>K6+K15+K17+K22+K23+K10</f>
        <v>339.9</v>
      </c>
      <c r="L5" s="92">
        <f>IF(K5&gt;0,H5/K5,0)</f>
        <v>1.4589585172109447</v>
      </c>
      <c r="M5" s="91">
        <f>M6+M15+M17+M22+M23+M10</f>
        <v>193.5</v>
      </c>
      <c r="N5" s="91">
        <f>N6+N15+N17+N22+N23+N10</f>
        <v>141.7</v>
      </c>
      <c r="O5" s="92">
        <f aca="true" t="shared" si="2" ref="O5:O39">IF(N5&gt;0,M5/N5,0)</f>
        <v>1.3655610444601272</v>
      </c>
      <c r="P5" s="91">
        <f>P6+P15+P17+P22+P23+P10</f>
        <v>114.39999999999999</v>
      </c>
      <c r="Q5" s="91">
        <f>Q6+Q15+Q17+Q22+Q23+Q10</f>
        <v>103.80000000000001</v>
      </c>
      <c r="R5" s="91">
        <f>R6+R15+R17+R22+R23+R10</f>
        <v>95.10000000000001</v>
      </c>
    </row>
    <row r="6" spans="1:18" ht="18">
      <c r="A6" s="9" t="s">
        <v>63</v>
      </c>
      <c r="B6" s="30">
        <v>1010200001</v>
      </c>
      <c r="C6" s="74">
        <f aca="true" t="shared" si="3" ref="C6:H6">C7+C8+C9</f>
        <v>842.3000000000001</v>
      </c>
      <c r="D6" s="74">
        <f t="shared" si="3"/>
        <v>13.15</v>
      </c>
      <c r="E6" s="74">
        <f t="shared" si="3"/>
        <v>855.45</v>
      </c>
      <c r="F6" s="74">
        <f t="shared" si="3"/>
        <v>0</v>
      </c>
      <c r="G6" s="74">
        <f t="shared" si="3"/>
        <v>141.8</v>
      </c>
      <c r="H6" s="74">
        <f t="shared" si="3"/>
        <v>222.8</v>
      </c>
      <c r="I6" s="89">
        <f t="shared" si="1"/>
        <v>0.260447717575545</v>
      </c>
      <c r="J6" s="89">
        <f>IF(F6&gt;0,H6/F6,0)</f>
        <v>0</v>
      </c>
      <c r="K6" s="95">
        <f>SUM(K7:K9)</f>
        <v>178.10000000000002</v>
      </c>
      <c r="L6" s="89">
        <f aca="true" t="shared" si="4" ref="L6:L39">IF(K6&gt;0,H6/K6,0)</f>
        <v>1.2509825940482875</v>
      </c>
      <c r="M6" s="74">
        <f>M7+M8+M9</f>
        <v>81</v>
      </c>
      <c r="N6" s="74">
        <f>N7+N8+N9</f>
        <v>60.1</v>
      </c>
      <c r="O6" s="89">
        <f t="shared" si="2"/>
        <v>1.3477537437603992</v>
      </c>
      <c r="P6" s="74">
        <f>P7+P8+P9</f>
        <v>5.800000000000001</v>
      </c>
      <c r="Q6" s="74">
        <f>Q7+Q8+Q9</f>
        <v>11.9</v>
      </c>
      <c r="R6" s="74">
        <f>R7+R8+R9</f>
        <v>6.9</v>
      </c>
    </row>
    <row r="7" spans="1:20" ht="21" customHeight="1">
      <c r="A7" s="10" t="s">
        <v>44</v>
      </c>
      <c r="B7" s="13">
        <v>1010201001</v>
      </c>
      <c r="C7" s="73">
        <v>841.7</v>
      </c>
      <c r="D7" s="85"/>
      <c r="E7" s="73">
        <f>C7+D7</f>
        <v>841.7</v>
      </c>
      <c r="F7" s="73"/>
      <c r="G7" s="70">
        <v>128</v>
      </c>
      <c r="H7" s="70">
        <f>G7+M7</f>
        <v>209</v>
      </c>
      <c r="I7" s="79">
        <f t="shared" si="1"/>
        <v>0.24830699774266365</v>
      </c>
      <c r="J7" s="79">
        <f aca="true" t="shared" si="5" ref="J7:J37">IF(F7&gt;0,H7/F7,0)</f>
        <v>0</v>
      </c>
      <c r="K7" s="70">
        <v>177.3</v>
      </c>
      <c r="L7" s="79">
        <f t="shared" si="4"/>
        <v>1.1787930062041736</v>
      </c>
      <c r="M7" s="70">
        <v>81</v>
      </c>
      <c r="N7" s="70">
        <v>60.1</v>
      </c>
      <c r="O7" s="79">
        <f t="shared" si="2"/>
        <v>1.3477537437603992</v>
      </c>
      <c r="P7" s="73">
        <v>5.4</v>
      </c>
      <c r="Q7" s="73">
        <v>11.5</v>
      </c>
      <c r="R7" s="73">
        <v>6.5</v>
      </c>
      <c r="T7" s="132"/>
    </row>
    <row r="8" spans="1:18" ht="18" customHeight="1">
      <c r="A8" s="10" t="s">
        <v>43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/>
      <c r="N8" s="73"/>
      <c r="O8" s="79">
        <f t="shared" si="2"/>
        <v>0</v>
      </c>
      <c r="P8" s="73"/>
      <c r="Q8" s="73"/>
      <c r="R8" s="73"/>
    </row>
    <row r="9" spans="1:18" ht="20.25" customHeight="1">
      <c r="A9" s="10" t="s">
        <v>42</v>
      </c>
      <c r="B9" s="13">
        <v>1010203001</v>
      </c>
      <c r="C9" s="73">
        <v>0.6</v>
      </c>
      <c r="D9" s="73">
        <v>13.15</v>
      </c>
      <c r="E9" s="73">
        <f>C9+D9</f>
        <v>13.75</v>
      </c>
      <c r="F9" s="73"/>
      <c r="G9" s="73">
        <v>13.8</v>
      </c>
      <c r="H9" s="70">
        <f>G9+M9</f>
        <v>13.8</v>
      </c>
      <c r="I9" s="79">
        <f t="shared" si="1"/>
        <v>1.0036363636363637</v>
      </c>
      <c r="J9" s="79">
        <f t="shared" si="5"/>
        <v>0</v>
      </c>
      <c r="K9" s="73">
        <v>0.8</v>
      </c>
      <c r="L9" s="79">
        <f t="shared" si="4"/>
        <v>17.25</v>
      </c>
      <c r="M9" s="73"/>
      <c r="N9" s="73"/>
      <c r="O9" s="79">
        <f t="shared" si="2"/>
        <v>0</v>
      </c>
      <c r="P9" s="73">
        <v>0.4</v>
      </c>
      <c r="Q9" s="73">
        <v>0.4</v>
      </c>
      <c r="R9" s="73">
        <v>0.4</v>
      </c>
    </row>
    <row r="10" spans="1:18" ht="16.5" customHeight="1">
      <c r="A10" s="11" t="s">
        <v>48</v>
      </c>
      <c r="B10" s="19">
        <v>1030200001</v>
      </c>
      <c r="C10" s="74">
        <f aca="true" t="shared" si="6" ref="C10:H10">SUM(C11:C14)</f>
        <v>494.29999999999995</v>
      </c>
      <c r="D10" s="74">
        <f t="shared" si="6"/>
        <v>0</v>
      </c>
      <c r="E10" s="74">
        <f t="shared" si="6"/>
        <v>494.29999999999995</v>
      </c>
      <c r="F10" s="74"/>
      <c r="G10" s="74">
        <f>SUM(G11:G14)</f>
        <v>99.9</v>
      </c>
      <c r="H10" s="74">
        <f t="shared" si="6"/>
        <v>143.9</v>
      </c>
      <c r="I10" s="68">
        <f t="shared" si="1"/>
        <v>0.29111875379324303</v>
      </c>
      <c r="J10" s="68">
        <f>IF(F10&gt;0,H10/F10,0)</f>
        <v>0</v>
      </c>
      <c r="K10" s="74">
        <f>SUM(K11:K14)</f>
        <v>114.1</v>
      </c>
      <c r="L10" s="68">
        <f t="shared" si="4"/>
        <v>1.2611744084136722</v>
      </c>
      <c r="M10" s="74">
        <f>SUM(M11:M14)</f>
        <v>44</v>
      </c>
      <c r="N10" s="74">
        <f>SUM(N11:N14)</f>
        <v>60.8</v>
      </c>
      <c r="O10" s="68">
        <f t="shared" si="2"/>
        <v>0.7236842105263158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20.25" customHeight="1">
      <c r="A11" s="12" t="s">
        <v>49</v>
      </c>
      <c r="B11" s="12">
        <v>1030223101</v>
      </c>
      <c r="C11" s="73">
        <v>184</v>
      </c>
      <c r="D11" s="73"/>
      <c r="E11" s="69">
        <f>C11+D11</f>
        <v>184</v>
      </c>
      <c r="F11" s="69"/>
      <c r="G11" s="73">
        <v>44.3</v>
      </c>
      <c r="H11" s="71">
        <f>G11+M11</f>
        <v>63.199999999999996</v>
      </c>
      <c r="I11" s="72">
        <f t="shared" si="1"/>
        <v>0.3434782608695652</v>
      </c>
      <c r="J11" s="72">
        <f>IF(F11&gt;0,H11/F11,0)</f>
        <v>0</v>
      </c>
      <c r="K11" s="73">
        <v>47</v>
      </c>
      <c r="L11" s="72">
        <f t="shared" si="4"/>
        <v>1.3446808510638297</v>
      </c>
      <c r="M11" s="73">
        <v>18.9</v>
      </c>
      <c r="N11" s="73">
        <v>24.7</v>
      </c>
      <c r="O11" s="72">
        <f t="shared" si="2"/>
        <v>0.7651821862348178</v>
      </c>
      <c r="P11" s="73"/>
      <c r="Q11" s="73"/>
      <c r="R11" s="73"/>
    </row>
    <row r="12" spans="1:18" ht="18" customHeight="1">
      <c r="A12" s="12" t="s">
        <v>50</v>
      </c>
      <c r="B12" s="12">
        <v>1030224101</v>
      </c>
      <c r="C12" s="73">
        <v>0.9</v>
      </c>
      <c r="D12" s="73"/>
      <c r="E12" s="69">
        <f>C12+D12</f>
        <v>0.9</v>
      </c>
      <c r="F12" s="69"/>
      <c r="G12" s="73">
        <v>0.3</v>
      </c>
      <c r="H12" s="71">
        <f>G12+M12</f>
        <v>0.4</v>
      </c>
      <c r="I12" s="72">
        <f t="shared" si="1"/>
        <v>0.4444444444444445</v>
      </c>
      <c r="J12" s="72">
        <f>IF(F12&gt;0,H12/F12,0)</f>
        <v>0</v>
      </c>
      <c r="K12" s="73">
        <v>0.3</v>
      </c>
      <c r="L12" s="72">
        <f t="shared" si="4"/>
        <v>1.3333333333333335</v>
      </c>
      <c r="M12" s="73">
        <v>0.1</v>
      </c>
      <c r="N12" s="73">
        <v>0.2</v>
      </c>
      <c r="O12" s="72">
        <f t="shared" si="2"/>
        <v>0.5</v>
      </c>
      <c r="P12" s="73"/>
      <c r="Q12" s="73"/>
      <c r="R12" s="73"/>
    </row>
    <row r="13" spans="1:18" ht="18" customHeight="1">
      <c r="A13" s="12" t="s">
        <v>51</v>
      </c>
      <c r="B13" s="12">
        <v>1030225101</v>
      </c>
      <c r="C13" s="73">
        <v>334.5</v>
      </c>
      <c r="D13" s="73"/>
      <c r="E13" s="69">
        <f>C13+D13</f>
        <v>334.5</v>
      </c>
      <c r="F13" s="69"/>
      <c r="G13" s="73">
        <v>64.9</v>
      </c>
      <c r="H13" s="71">
        <f>G13+M13</f>
        <v>92.7</v>
      </c>
      <c r="I13" s="72">
        <f t="shared" si="1"/>
        <v>0.2771300448430493</v>
      </c>
      <c r="J13" s="72">
        <f>IF(F13&gt;0,H13/F13,0)</f>
        <v>0</v>
      </c>
      <c r="K13" s="73">
        <v>76.6</v>
      </c>
      <c r="L13" s="72">
        <f t="shared" si="4"/>
        <v>1.210182767624021</v>
      </c>
      <c r="M13" s="73">
        <v>27.8</v>
      </c>
      <c r="N13" s="73">
        <v>40.1</v>
      </c>
      <c r="O13" s="72">
        <f t="shared" si="2"/>
        <v>0.6932668329177057</v>
      </c>
      <c r="P13" s="73"/>
      <c r="Q13" s="73"/>
      <c r="R13" s="73"/>
    </row>
    <row r="14" spans="1:18" ht="19.5" customHeight="1">
      <c r="A14" s="12" t="s">
        <v>52</v>
      </c>
      <c r="B14" s="12">
        <v>1030226101</v>
      </c>
      <c r="C14" s="73">
        <v>-25.1</v>
      </c>
      <c r="D14" s="73"/>
      <c r="E14" s="69">
        <f>C14+D14</f>
        <v>-25.1</v>
      </c>
      <c r="F14" s="69"/>
      <c r="G14" s="73">
        <v>-9.6</v>
      </c>
      <c r="H14" s="71">
        <f>G14+M14</f>
        <v>-12.399999999999999</v>
      </c>
      <c r="I14" s="72">
        <f>H14/E14</f>
        <v>0.49402390438247</v>
      </c>
      <c r="J14" s="72">
        <f>IF(F14&gt;0,H14/F14,0)</f>
        <v>0</v>
      </c>
      <c r="K14" s="73">
        <v>-9.8</v>
      </c>
      <c r="L14" s="72">
        <f t="shared" si="4"/>
        <v>0</v>
      </c>
      <c r="M14" s="73">
        <v>-2.8</v>
      </c>
      <c r="N14" s="73">
        <v>-4.2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7" ref="C15:H15">C16</f>
        <v>45</v>
      </c>
      <c r="D15" s="75">
        <f t="shared" si="7"/>
        <v>0</v>
      </c>
      <c r="E15" s="75">
        <f t="shared" si="7"/>
        <v>45</v>
      </c>
      <c r="F15" s="75">
        <f t="shared" si="7"/>
        <v>0</v>
      </c>
      <c r="G15" s="74">
        <f>G16</f>
        <v>9.4</v>
      </c>
      <c r="H15" s="75">
        <f t="shared" si="7"/>
        <v>65.3</v>
      </c>
      <c r="I15" s="89">
        <f t="shared" si="1"/>
        <v>1.451111111111111</v>
      </c>
      <c r="J15" s="89">
        <f t="shared" si="5"/>
        <v>0</v>
      </c>
      <c r="K15" s="74">
        <f>K16</f>
        <v>26.5</v>
      </c>
      <c r="L15" s="89">
        <f t="shared" si="4"/>
        <v>2.464150943396226</v>
      </c>
      <c r="M15" s="74">
        <f>M16</f>
        <v>55.9</v>
      </c>
      <c r="N15" s="74">
        <f>N16</f>
        <v>13.5</v>
      </c>
      <c r="O15" s="89">
        <f t="shared" si="2"/>
        <v>4.140740740740741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>
        <v>45</v>
      </c>
      <c r="D16" s="70"/>
      <c r="E16" s="73">
        <f>C16+D16</f>
        <v>45</v>
      </c>
      <c r="F16" s="73"/>
      <c r="G16" s="73">
        <v>9.4</v>
      </c>
      <c r="H16" s="70">
        <f>G16+M16</f>
        <v>65.3</v>
      </c>
      <c r="I16" s="79">
        <f t="shared" si="1"/>
        <v>1.451111111111111</v>
      </c>
      <c r="J16" s="79">
        <f t="shared" si="5"/>
        <v>0</v>
      </c>
      <c r="K16" s="73">
        <v>26.5</v>
      </c>
      <c r="L16" s="79">
        <f t="shared" si="4"/>
        <v>2.464150943396226</v>
      </c>
      <c r="M16" s="73">
        <v>55.9</v>
      </c>
      <c r="N16" s="73">
        <v>13.5</v>
      </c>
      <c r="O16" s="79">
        <f t="shared" si="2"/>
        <v>4.140740740740741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8" ref="C17:H17">C18+C21</f>
        <v>234</v>
      </c>
      <c r="D17" s="75">
        <f t="shared" si="8"/>
        <v>0</v>
      </c>
      <c r="E17" s="75">
        <f t="shared" si="8"/>
        <v>234</v>
      </c>
      <c r="F17" s="75">
        <f t="shared" si="8"/>
        <v>0</v>
      </c>
      <c r="G17" s="74">
        <f>G18+G21</f>
        <v>49.9</v>
      </c>
      <c r="H17" s="75">
        <f t="shared" si="8"/>
        <v>61.6</v>
      </c>
      <c r="I17" s="89">
        <f t="shared" si="1"/>
        <v>0.26324786324786326</v>
      </c>
      <c r="J17" s="89">
        <f t="shared" si="5"/>
        <v>0</v>
      </c>
      <c r="K17" s="74">
        <f>K18+K21</f>
        <v>19</v>
      </c>
      <c r="L17" s="89">
        <f t="shared" si="4"/>
        <v>3.2421052631578946</v>
      </c>
      <c r="M17" s="74">
        <f>M18+M21</f>
        <v>11.7</v>
      </c>
      <c r="N17" s="74">
        <f>N18+N21</f>
        <v>6.9</v>
      </c>
      <c r="O17" s="89">
        <f t="shared" si="2"/>
        <v>1.6956521739130432</v>
      </c>
      <c r="P17" s="74">
        <f>P18+P21</f>
        <v>108.6</v>
      </c>
      <c r="Q17" s="74">
        <f>Q18+Q21</f>
        <v>91.9</v>
      </c>
      <c r="R17" s="74">
        <f>R18+R21</f>
        <v>88.2</v>
      </c>
    </row>
    <row r="18" spans="1:18" ht="18">
      <c r="A18" s="13" t="s">
        <v>13</v>
      </c>
      <c r="B18" s="13">
        <v>1060600000</v>
      </c>
      <c r="C18" s="73">
        <f aca="true" t="shared" si="9" ref="C18:H18">C19+C20</f>
        <v>171</v>
      </c>
      <c r="D18" s="70">
        <f t="shared" si="9"/>
        <v>0</v>
      </c>
      <c r="E18" s="70">
        <f t="shared" si="9"/>
        <v>171</v>
      </c>
      <c r="F18" s="70">
        <f t="shared" si="9"/>
        <v>0</v>
      </c>
      <c r="G18" s="70">
        <f>G19+G20</f>
        <v>35.8</v>
      </c>
      <c r="H18" s="70">
        <f t="shared" si="9"/>
        <v>38.5</v>
      </c>
      <c r="I18" s="79">
        <f t="shared" si="1"/>
        <v>0.22514619883040934</v>
      </c>
      <c r="J18" s="79">
        <f t="shared" si="5"/>
        <v>0</v>
      </c>
      <c r="K18" s="70">
        <f>K19+K20</f>
        <v>13.7</v>
      </c>
      <c r="L18" s="79">
        <f t="shared" si="4"/>
        <v>2.81021897810219</v>
      </c>
      <c r="M18" s="70">
        <f>M19+M20</f>
        <v>2.7</v>
      </c>
      <c r="N18" s="70">
        <f>N19+N20</f>
        <v>1.9</v>
      </c>
      <c r="O18" s="79">
        <f t="shared" si="2"/>
        <v>1.4210526315789476</v>
      </c>
      <c r="P18" s="73">
        <f>P19+P20</f>
        <v>72.6</v>
      </c>
      <c r="Q18" s="73">
        <f>Q19+Q20</f>
        <v>69.9</v>
      </c>
      <c r="R18" s="73">
        <f>R19+R20</f>
        <v>67.5</v>
      </c>
    </row>
    <row r="19" spans="1:18" ht="18">
      <c r="A19" s="13" t="s">
        <v>100</v>
      </c>
      <c r="B19" s="13">
        <v>1060603310</v>
      </c>
      <c r="C19" s="73">
        <v>60</v>
      </c>
      <c r="D19" s="70"/>
      <c r="E19" s="73">
        <f>C19+D19</f>
        <v>60</v>
      </c>
      <c r="F19" s="73"/>
      <c r="G19" s="73">
        <v>33.4</v>
      </c>
      <c r="H19" s="70">
        <f>G19+M19</f>
        <v>33.4</v>
      </c>
      <c r="I19" s="79">
        <f t="shared" si="1"/>
        <v>0.5566666666666666</v>
      </c>
      <c r="J19" s="79">
        <f t="shared" si="5"/>
        <v>0</v>
      </c>
      <c r="K19" s="73">
        <v>7.9</v>
      </c>
      <c r="L19" s="79">
        <f t="shared" si="4"/>
        <v>4.227848101265822</v>
      </c>
      <c r="M19" s="73"/>
      <c r="N19" s="73"/>
      <c r="O19" s="79">
        <f t="shared" si="2"/>
        <v>0</v>
      </c>
      <c r="P19" s="73">
        <v>17.8</v>
      </c>
      <c r="Q19" s="73">
        <v>17.8</v>
      </c>
      <c r="R19" s="73">
        <v>17.8</v>
      </c>
    </row>
    <row r="20" spans="1:18" ht="18">
      <c r="A20" s="13" t="s">
        <v>101</v>
      </c>
      <c r="B20" s="13">
        <v>1060604310</v>
      </c>
      <c r="C20" s="73">
        <v>111</v>
      </c>
      <c r="D20" s="70"/>
      <c r="E20" s="73">
        <f>C20+D20</f>
        <v>111</v>
      </c>
      <c r="F20" s="73"/>
      <c r="G20" s="73">
        <v>2.4</v>
      </c>
      <c r="H20" s="70">
        <f>G20+M20</f>
        <v>5.1</v>
      </c>
      <c r="I20" s="79">
        <f t="shared" si="1"/>
        <v>0.04594594594594594</v>
      </c>
      <c r="J20" s="79">
        <f t="shared" si="5"/>
        <v>0</v>
      </c>
      <c r="K20" s="73">
        <v>5.8</v>
      </c>
      <c r="L20" s="79">
        <f t="shared" si="4"/>
        <v>0.8793103448275862</v>
      </c>
      <c r="M20" s="73">
        <v>2.7</v>
      </c>
      <c r="N20" s="73">
        <v>1.9</v>
      </c>
      <c r="O20" s="79">
        <f t="shared" si="2"/>
        <v>1.4210526315789476</v>
      </c>
      <c r="P20" s="73">
        <v>54.8</v>
      </c>
      <c r="Q20" s="73">
        <v>52.1</v>
      </c>
      <c r="R20" s="73">
        <v>49.7</v>
      </c>
    </row>
    <row r="21" spans="1:20" ht="18">
      <c r="A21" s="13" t="s">
        <v>12</v>
      </c>
      <c r="B21" s="13">
        <v>1060103010</v>
      </c>
      <c r="C21" s="73">
        <v>63</v>
      </c>
      <c r="D21" s="70"/>
      <c r="E21" s="73">
        <f>C21+D21</f>
        <v>63</v>
      </c>
      <c r="F21" s="73"/>
      <c r="G21" s="73">
        <v>14.1</v>
      </c>
      <c r="H21" s="70">
        <f>G21+M21</f>
        <v>23.1</v>
      </c>
      <c r="I21" s="79">
        <f t="shared" si="1"/>
        <v>0.3666666666666667</v>
      </c>
      <c r="J21" s="79">
        <f t="shared" si="5"/>
        <v>0</v>
      </c>
      <c r="K21" s="73">
        <v>5.3</v>
      </c>
      <c r="L21" s="79">
        <f t="shared" si="4"/>
        <v>4.358490566037736</v>
      </c>
      <c r="M21" s="73">
        <v>9</v>
      </c>
      <c r="N21" s="73">
        <v>5</v>
      </c>
      <c r="O21" s="79">
        <f t="shared" si="2"/>
        <v>1.8</v>
      </c>
      <c r="P21" s="73">
        <v>36</v>
      </c>
      <c r="Q21" s="73">
        <v>22</v>
      </c>
      <c r="R21" s="73">
        <v>20.7</v>
      </c>
      <c r="T21" s="132"/>
    </row>
    <row r="22" spans="1:18" ht="17.25" customHeight="1">
      <c r="A22" s="9" t="s">
        <v>72</v>
      </c>
      <c r="B22" s="30">
        <v>1080402001</v>
      </c>
      <c r="C22" s="74">
        <v>5</v>
      </c>
      <c r="D22" s="75"/>
      <c r="E22" s="74">
        <f>C22+D22</f>
        <v>5</v>
      </c>
      <c r="F22" s="74"/>
      <c r="G22" s="74">
        <v>1.4</v>
      </c>
      <c r="H22" s="75">
        <f>G22+M22</f>
        <v>2.3</v>
      </c>
      <c r="I22" s="89">
        <f t="shared" si="1"/>
        <v>0.45999999999999996</v>
      </c>
      <c r="J22" s="89">
        <f t="shared" si="5"/>
        <v>0</v>
      </c>
      <c r="K22" s="74">
        <v>2.2</v>
      </c>
      <c r="L22" s="89">
        <f t="shared" si="4"/>
        <v>1.0454545454545452</v>
      </c>
      <c r="M22" s="74">
        <v>0.9</v>
      </c>
      <c r="N22" s="74">
        <v>0.4</v>
      </c>
      <c r="O22" s="89">
        <f t="shared" si="2"/>
        <v>2.25</v>
      </c>
      <c r="P22" s="74"/>
      <c r="Q22" s="74"/>
      <c r="R22" s="74"/>
    </row>
    <row r="23" spans="1:18" ht="18" hidden="1">
      <c r="A23" s="9" t="s">
        <v>73</v>
      </c>
      <c r="B23" s="30">
        <v>1090405010</v>
      </c>
      <c r="C23" s="74"/>
      <c r="D23" s="74"/>
      <c r="E23" s="74">
        <f>C23+D23</f>
        <v>0</v>
      </c>
      <c r="F23" s="74"/>
      <c r="G23" s="74"/>
      <c r="H23" s="75">
        <f>G23+M23</f>
        <v>0</v>
      </c>
      <c r="I23" s="89">
        <f t="shared" si="1"/>
        <v>0</v>
      </c>
      <c r="J23" s="89">
        <f t="shared" si="5"/>
        <v>0</v>
      </c>
      <c r="K23" s="74"/>
      <c r="L23" s="89">
        <f t="shared" si="4"/>
        <v>0</v>
      </c>
      <c r="M23" s="74"/>
      <c r="N23" s="74"/>
      <c r="O23" s="89">
        <f t="shared" si="2"/>
        <v>0</v>
      </c>
      <c r="P23" s="74"/>
      <c r="Q23" s="74"/>
      <c r="R23" s="74"/>
    </row>
    <row r="24" spans="1:18" ht="18">
      <c r="A24" s="32" t="s">
        <v>22</v>
      </c>
      <c r="B24" s="32"/>
      <c r="C24" s="88">
        <f aca="true" t="shared" si="10" ref="C24:H24">C25+C28+C32+C29+C31+C30</f>
        <v>1000</v>
      </c>
      <c r="D24" s="88">
        <f t="shared" si="10"/>
        <v>768.868</v>
      </c>
      <c r="E24" s="88">
        <f t="shared" si="10"/>
        <v>1768.868</v>
      </c>
      <c r="F24" s="88">
        <f t="shared" si="10"/>
        <v>0</v>
      </c>
      <c r="G24" s="88">
        <f>G25+G28+G32+G29+G31+G30</f>
        <v>109.30000000000001</v>
      </c>
      <c r="H24" s="88">
        <f t="shared" si="10"/>
        <v>158.10000000000002</v>
      </c>
      <c r="I24" s="92">
        <f t="shared" si="1"/>
        <v>0.08937919618648764</v>
      </c>
      <c r="J24" s="92">
        <f t="shared" si="5"/>
        <v>0</v>
      </c>
      <c r="K24" s="88">
        <f>K25+K28+K32+K29+K31+K30</f>
        <v>111.6</v>
      </c>
      <c r="L24" s="92">
        <f t="shared" si="4"/>
        <v>1.416666666666667</v>
      </c>
      <c r="M24" s="88">
        <f>M25+M28+M32+M29+M31+M30</f>
        <v>48.8</v>
      </c>
      <c r="N24" s="88">
        <f>N25+N28+N32+N29+N31+N30</f>
        <v>52.199999999999996</v>
      </c>
      <c r="O24" s="92">
        <f t="shared" si="2"/>
        <v>0.9348659003831418</v>
      </c>
      <c r="P24" s="78">
        <f>P25+P28+P32+P29</f>
        <v>0</v>
      </c>
      <c r="Q24" s="78">
        <f>Q25+Q28+Q32+Q29</f>
        <v>0</v>
      </c>
      <c r="R24" s="78">
        <f>R25+R28+R32+R29</f>
        <v>0</v>
      </c>
    </row>
    <row r="25" spans="1:18" ht="18">
      <c r="A25" s="9" t="s">
        <v>74</v>
      </c>
      <c r="B25" s="30">
        <v>1110000000</v>
      </c>
      <c r="C25" s="74">
        <f aca="true" t="shared" si="11" ref="C25:H25">C26+C27</f>
        <v>100</v>
      </c>
      <c r="D25" s="74">
        <f t="shared" si="11"/>
        <v>768.868</v>
      </c>
      <c r="E25" s="74">
        <f t="shared" si="11"/>
        <v>868.868</v>
      </c>
      <c r="F25" s="74">
        <f t="shared" si="11"/>
        <v>0</v>
      </c>
      <c r="G25" s="74">
        <f>G26+G27</f>
        <v>20.6</v>
      </c>
      <c r="H25" s="74">
        <f t="shared" si="11"/>
        <v>30.8</v>
      </c>
      <c r="I25" s="89">
        <f t="shared" si="1"/>
        <v>0.035448422545196735</v>
      </c>
      <c r="J25" s="89">
        <f t="shared" si="5"/>
        <v>0</v>
      </c>
      <c r="K25" s="74">
        <f>K26+K27</f>
        <v>25.7</v>
      </c>
      <c r="L25" s="89">
        <f t="shared" si="4"/>
        <v>1.198443579766537</v>
      </c>
      <c r="M25" s="74">
        <f>M26+M27</f>
        <v>10.2</v>
      </c>
      <c r="N25" s="74">
        <f>N26+N27</f>
        <v>8.8</v>
      </c>
      <c r="O25" s="89">
        <f t="shared" si="2"/>
        <v>1.159090909090909</v>
      </c>
      <c r="P25" s="74">
        <f>P26+P27</f>
        <v>0</v>
      </c>
      <c r="Q25" s="74">
        <f>Q26+Q27</f>
        <v>0</v>
      </c>
      <c r="R25" s="74">
        <f>R26+R27</f>
        <v>0</v>
      </c>
    </row>
    <row r="26" spans="1:18" ht="19.5" customHeight="1">
      <c r="A26" s="13" t="s">
        <v>106</v>
      </c>
      <c r="B26" s="13">
        <v>1110502510</v>
      </c>
      <c r="C26" s="73"/>
      <c r="D26" s="70"/>
      <c r="E26" s="73">
        <f aca="true" t="shared" si="12" ref="E26:E31">C26+D26</f>
        <v>0</v>
      </c>
      <c r="F26" s="73"/>
      <c r="G26" s="73"/>
      <c r="H26" s="70">
        <f aca="true" t="shared" si="13" ref="H26:H31">G26+M26</f>
        <v>0</v>
      </c>
      <c r="I26" s="79">
        <f t="shared" si="1"/>
        <v>0</v>
      </c>
      <c r="J26" s="79">
        <f t="shared" si="5"/>
        <v>0</v>
      </c>
      <c r="K26" s="73"/>
      <c r="L26" s="79">
        <f t="shared" si="4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18">
      <c r="A27" s="33" t="s">
        <v>23</v>
      </c>
      <c r="B27" s="13">
        <v>1110904510</v>
      </c>
      <c r="C27" s="73">
        <v>100</v>
      </c>
      <c r="D27" s="85">
        <v>768.868</v>
      </c>
      <c r="E27" s="73">
        <f t="shared" si="12"/>
        <v>868.868</v>
      </c>
      <c r="F27" s="73"/>
      <c r="G27" s="73">
        <v>20.6</v>
      </c>
      <c r="H27" s="70">
        <f t="shared" si="13"/>
        <v>30.8</v>
      </c>
      <c r="I27" s="79">
        <f t="shared" si="1"/>
        <v>0.035448422545196735</v>
      </c>
      <c r="J27" s="79">
        <f t="shared" si="5"/>
        <v>0</v>
      </c>
      <c r="K27" s="73">
        <v>25.7</v>
      </c>
      <c r="L27" s="79">
        <f t="shared" si="4"/>
        <v>1.198443579766537</v>
      </c>
      <c r="M27" s="73">
        <v>10.2</v>
      </c>
      <c r="N27" s="73">
        <v>8.8</v>
      </c>
      <c r="O27" s="79">
        <f t="shared" si="2"/>
        <v>1.159090909090909</v>
      </c>
      <c r="P27" s="73"/>
      <c r="Q27" s="73"/>
      <c r="R27" s="73"/>
    </row>
    <row r="28" spans="1:18" ht="18">
      <c r="A28" s="9" t="s">
        <v>38</v>
      </c>
      <c r="B28" s="30">
        <v>1130299510</v>
      </c>
      <c r="C28" s="74">
        <v>900</v>
      </c>
      <c r="D28" s="74"/>
      <c r="E28" s="74">
        <f t="shared" si="12"/>
        <v>900</v>
      </c>
      <c r="F28" s="74"/>
      <c r="G28" s="74">
        <v>88.7</v>
      </c>
      <c r="H28" s="75">
        <f t="shared" si="13"/>
        <v>127.30000000000001</v>
      </c>
      <c r="I28" s="89">
        <f t="shared" si="1"/>
        <v>0.14144444444444446</v>
      </c>
      <c r="J28" s="89">
        <f t="shared" si="5"/>
        <v>0</v>
      </c>
      <c r="K28" s="74">
        <v>85.8</v>
      </c>
      <c r="L28" s="89">
        <f t="shared" si="4"/>
        <v>1.483682983682984</v>
      </c>
      <c r="M28" s="74">
        <v>38.6</v>
      </c>
      <c r="N28" s="74">
        <v>43.3</v>
      </c>
      <c r="O28" s="89">
        <f t="shared" si="2"/>
        <v>0.8914549653579678</v>
      </c>
      <c r="P28" s="74"/>
      <c r="Q28" s="74"/>
      <c r="R28" s="74"/>
    </row>
    <row r="29" spans="1:18" ht="18">
      <c r="A29" s="9" t="s">
        <v>76</v>
      </c>
      <c r="B29" s="30">
        <v>1140601410</v>
      </c>
      <c r="C29" s="74"/>
      <c r="D29" s="74"/>
      <c r="E29" s="74">
        <f t="shared" si="12"/>
        <v>0</v>
      </c>
      <c r="F29" s="74"/>
      <c r="G29" s="74"/>
      <c r="H29" s="75">
        <f t="shared" si="13"/>
        <v>0</v>
      </c>
      <c r="I29" s="89">
        <f>IF(E29&gt;0,H29/E29,0)</f>
        <v>0</v>
      </c>
      <c r="J29" s="89">
        <f>IF(F29&gt;0,H29/F29,0)</f>
        <v>0</v>
      </c>
      <c r="K29" s="74"/>
      <c r="L29" s="89">
        <f t="shared" si="4"/>
        <v>0</v>
      </c>
      <c r="M29" s="74"/>
      <c r="N29" s="74"/>
      <c r="O29" s="89">
        <f t="shared" si="2"/>
        <v>0</v>
      </c>
      <c r="P29" s="74"/>
      <c r="Q29" s="74"/>
      <c r="R29" s="74"/>
    </row>
    <row r="30" spans="1:18" ht="18">
      <c r="A30" s="9" t="s">
        <v>75</v>
      </c>
      <c r="B30" s="30">
        <v>1140205310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79</v>
      </c>
      <c r="B31" s="30">
        <v>1169005010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>IF(E31&gt;0,H31/E31,0)</f>
        <v>0</v>
      </c>
      <c r="J31" s="89">
        <f>IF(F31&gt;0,H31/F31,0)</f>
        <v>0</v>
      </c>
      <c r="K31" s="74"/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69</v>
      </c>
      <c r="B32" s="30">
        <v>1170000000</v>
      </c>
      <c r="C32" s="74">
        <f>SUM(C33:C34)</f>
        <v>0</v>
      </c>
      <c r="D32" s="74">
        <f aca="true" t="shared" si="14" ref="D32:R32">SUM(D33:D34)</f>
        <v>0</v>
      </c>
      <c r="E32" s="74">
        <f t="shared" si="14"/>
        <v>0</v>
      </c>
      <c r="F32" s="74">
        <f t="shared" si="14"/>
        <v>0</v>
      </c>
      <c r="G32" s="74">
        <f>SUM(G33:G34)</f>
        <v>0</v>
      </c>
      <c r="H32" s="74">
        <f t="shared" si="14"/>
        <v>0</v>
      </c>
      <c r="I32" s="89">
        <f>IF(E32&gt;0,H32/E32,0)</f>
        <v>0</v>
      </c>
      <c r="J32" s="89">
        <f>IF(F32&gt;0,H32/F32,0)</f>
        <v>0</v>
      </c>
      <c r="K32" s="74">
        <f>SUM(K33:K34)</f>
        <v>0.1</v>
      </c>
      <c r="L32" s="89">
        <f t="shared" si="4"/>
        <v>0</v>
      </c>
      <c r="M32" s="74">
        <f t="shared" si="14"/>
        <v>0</v>
      </c>
      <c r="N32" s="74">
        <f t="shared" si="14"/>
        <v>0.1</v>
      </c>
      <c r="O32" s="89">
        <f t="shared" si="2"/>
        <v>0</v>
      </c>
      <c r="P32" s="74">
        <f t="shared" si="14"/>
        <v>0</v>
      </c>
      <c r="Q32" s="74">
        <f>SUM(Q33:Q34)</f>
        <v>0</v>
      </c>
      <c r="R32" s="74">
        <f t="shared" si="14"/>
        <v>0</v>
      </c>
    </row>
    <row r="33" spans="1:18" ht="18">
      <c r="A33" s="13" t="s">
        <v>8</v>
      </c>
      <c r="B33" s="13">
        <v>1170103003</v>
      </c>
      <c r="C33" s="73"/>
      <c r="D33" s="73"/>
      <c r="E33" s="73">
        <f>C33+D33</f>
        <v>0</v>
      </c>
      <c r="F33" s="73"/>
      <c r="G33" s="73"/>
      <c r="H33" s="70">
        <f>G33+M33</f>
        <v>0</v>
      </c>
      <c r="I33" s="79">
        <f t="shared" si="1"/>
        <v>0</v>
      </c>
      <c r="J33" s="79">
        <f t="shared" si="5"/>
        <v>0</v>
      </c>
      <c r="K33" s="73"/>
      <c r="L33" s="79">
        <f t="shared" si="4"/>
        <v>0</v>
      </c>
      <c r="M33" s="73"/>
      <c r="N33" s="73"/>
      <c r="O33" s="79">
        <f t="shared" si="2"/>
        <v>0</v>
      </c>
      <c r="P33" s="79"/>
      <c r="Q33" s="79"/>
      <c r="R33" s="79"/>
    </row>
    <row r="34" spans="1:18" ht="18">
      <c r="A34" s="13" t="s">
        <v>33</v>
      </c>
      <c r="B34" s="13">
        <v>1170505010</v>
      </c>
      <c r="C34" s="73"/>
      <c r="D34" s="70"/>
      <c r="E34" s="73">
        <f>C34+D34</f>
        <v>0</v>
      </c>
      <c r="F34" s="73"/>
      <c r="G34" s="73"/>
      <c r="H34" s="70">
        <f>G34+M34</f>
        <v>0</v>
      </c>
      <c r="I34" s="79">
        <f>IF(E34&gt;0,H34/E34,0)</f>
        <v>0</v>
      </c>
      <c r="J34" s="79">
        <f>IF(F34&gt;0,H34/F34,0)</f>
        <v>0</v>
      </c>
      <c r="K34" s="73">
        <v>0.1</v>
      </c>
      <c r="L34" s="79">
        <f>IF(K34&gt;0,H34/K34,0)</f>
        <v>0</v>
      </c>
      <c r="M34" s="73"/>
      <c r="N34" s="73">
        <v>0.1</v>
      </c>
      <c r="O34" s="79">
        <f>IF(N34&gt;0,M34/N34,0)</f>
        <v>0</v>
      </c>
      <c r="P34" s="73"/>
      <c r="Q34" s="73"/>
      <c r="R34" s="73"/>
    </row>
    <row r="35" spans="1:20" ht="18">
      <c r="A35" s="9" t="s">
        <v>6</v>
      </c>
      <c r="B35" s="9">
        <v>1000000000</v>
      </c>
      <c r="C35" s="81">
        <f aca="true" t="shared" si="15" ref="C35:H35">C5+C24</f>
        <v>2620.6000000000004</v>
      </c>
      <c r="D35" s="80">
        <f t="shared" si="15"/>
        <v>782.018</v>
      </c>
      <c r="E35" s="80">
        <f t="shared" si="15"/>
        <v>3402.618</v>
      </c>
      <c r="F35" s="81">
        <f t="shared" si="15"/>
        <v>0</v>
      </c>
      <c r="G35" s="81">
        <f>G5+G24</f>
        <v>411.70000000000005</v>
      </c>
      <c r="H35" s="81">
        <f t="shared" si="15"/>
        <v>654.0000000000001</v>
      </c>
      <c r="I35" s="93">
        <f t="shared" si="1"/>
        <v>0.19220494337007565</v>
      </c>
      <c r="J35" s="93">
        <f t="shared" si="5"/>
        <v>0</v>
      </c>
      <c r="K35" s="81">
        <f>K5+K24</f>
        <v>451.5</v>
      </c>
      <c r="L35" s="93">
        <f t="shared" si="4"/>
        <v>1.4485049833887045</v>
      </c>
      <c r="M35" s="81">
        <f>M5+M24</f>
        <v>242.3</v>
      </c>
      <c r="N35" s="81">
        <f>N5+N24</f>
        <v>193.89999999999998</v>
      </c>
      <c r="O35" s="93">
        <f t="shared" si="2"/>
        <v>1.249613202681795</v>
      </c>
      <c r="P35" s="81">
        <f>P5+P24</f>
        <v>114.39999999999999</v>
      </c>
      <c r="Q35" s="81">
        <f>Q5+Q24</f>
        <v>103.80000000000001</v>
      </c>
      <c r="R35" s="81">
        <f>R5+R24</f>
        <v>95.10000000000001</v>
      </c>
      <c r="T35" s="133"/>
    </row>
    <row r="36" spans="1:18" ht="18">
      <c r="A36" s="9" t="s">
        <v>92</v>
      </c>
      <c r="B36" s="9"/>
      <c r="C36" s="81">
        <f aca="true" t="shared" si="16" ref="C36:H36">C35-C10</f>
        <v>2126.3</v>
      </c>
      <c r="D36" s="80">
        <f t="shared" si="16"/>
        <v>782.018</v>
      </c>
      <c r="E36" s="80">
        <f t="shared" si="16"/>
        <v>2908.318</v>
      </c>
      <c r="F36" s="81">
        <f t="shared" si="16"/>
        <v>0</v>
      </c>
      <c r="G36" s="81">
        <f>G35-G10</f>
        <v>311.80000000000007</v>
      </c>
      <c r="H36" s="81">
        <f t="shared" si="16"/>
        <v>510.10000000000014</v>
      </c>
      <c r="I36" s="93">
        <f>IF(E36&gt;0,H36/E36,0)</f>
        <v>0.17539347485385026</v>
      </c>
      <c r="J36" s="93">
        <f>IF(F36&gt;0,H36/F36,0)</f>
        <v>0</v>
      </c>
      <c r="K36" s="81">
        <f>K35-K10</f>
        <v>337.4</v>
      </c>
      <c r="L36" s="93">
        <f t="shared" si="4"/>
        <v>1.5118553645524604</v>
      </c>
      <c r="M36" s="81">
        <f>M35-M10</f>
        <v>198.3</v>
      </c>
      <c r="N36" s="81">
        <f>N35-N10</f>
        <v>133.09999999999997</v>
      </c>
      <c r="O36" s="93">
        <f t="shared" si="2"/>
        <v>1.489857250187829</v>
      </c>
      <c r="P36" s="81"/>
      <c r="Q36" s="81"/>
      <c r="R36" s="81"/>
    </row>
    <row r="37" spans="1:18" ht="18">
      <c r="A37" s="13" t="s">
        <v>25</v>
      </c>
      <c r="B37" s="13">
        <v>2000000000</v>
      </c>
      <c r="C37" s="85">
        <v>3416.357</v>
      </c>
      <c r="D37" s="85"/>
      <c r="E37" s="85">
        <f>C37+D37</f>
        <v>3416.357</v>
      </c>
      <c r="F37" s="73"/>
      <c r="G37" s="73">
        <v>1444.7</v>
      </c>
      <c r="H37" s="70">
        <f>G37+M37</f>
        <v>1616.8</v>
      </c>
      <c r="I37" s="79">
        <f t="shared" si="1"/>
        <v>0.47325264894740215</v>
      </c>
      <c r="J37" s="79">
        <f t="shared" si="5"/>
        <v>0</v>
      </c>
      <c r="K37" s="73">
        <v>182.6</v>
      </c>
      <c r="L37" s="79">
        <f t="shared" si="4"/>
        <v>8.854326396495072</v>
      </c>
      <c r="M37" s="73">
        <v>172.1</v>
      </c>
      <c r="N37" s="73">
        <v>68.9</v>
      </c>
      <c r="O37" s="79">
        <f t="shared" si="2"/>
        <v>2.4978229317851954</v>
      </c>
      <c r="P37" s="73"/>
      <c r="Q37" s="73"/>
      <c r="R37" s="73"/>
    </row>
    <row r="38" spans="1:18" ht="18">
      <c r="A38" s="13" t="s">
        <v>46</v>
      </c>
      <c r="B38" s="34" t="s">
        <v>102</v>
      </c>
      <c r="C38" s="73"/>
      <c r="D38" s="84"/>
      <c r="E38" s="73">
        <f>C38+D38</f>
        <v>0</v>
      </c>
      <c r="F38" s="73"/>
      <c r="G38" s="73"/>
      <c r="H38" s="70">
        <f>G38+M38</f>
        <v>0</v>
      </c>
      <c r="I38" s="79">
        <f>IF(E38&gt;0,H38/E38,0)</f>
        <v>0</v>
      </c>
      <c r="J38" s="79">
        <f>IF(F38&gt;0,H38/F38,0)</f>
        <v>0</v>
      </c>
      <c r="K38" s="73">
        <v>60</v>
      </c>
      <c r="L38" s="79"/>
      <c r="M38" s="73"/>
      <c r="N38" s="73">
        <v>60</v>
      </c>
      <c r="O38" s="79">
        <f t="shared" si="2"/>
        <v>0</v>
      </c>
      <c r="P38" s="73"/>
      <c r="Q38" s="73"/>
      <c r="R38" s="73"/>
    </row>
    <row r="39" spans="1:18" ht="18">
      <c r="A39" s="9" t="s">
        <v>2</v>
      </c>
      <c r="B39" s="9">
        <v>0</v>
      </c>
      <c r="C39" s="80">
        <f aca="true" t="shared" si="17" ref="C39:H39">C35+C37+C38</f>
        <v>6036.957</v>
      </c>
      <c r="D39" s="90">
        <f t="shared" si="17"/>
        <v>782.018</v>
      </c>
      <c r="E39" s="80">
        <f t="shared" si="17"/>
        <v>6818.975</v>
      </c>
      <c r="F39" s="81">
        <f t="shared" si="17"/>
        <v>0</v>
      </c>
      <c r="G39" s="81">
        <f t="shared" si="17"/>
        <v>1856.4</v>
      </c>
      <c r="H39" s="81">
        <f t="shared" si="17"/>
        <v>2270.8</v>
      </c>
      <c r="I39" s="93">
        <f t="shared" si="1"/>
        <v>0.33301192627924286</v>
      </c>
      <c r="J39" s="93"/>
      <c r="K39" s="81">
        <f>K35+K37+K38</f>
        <v>694.1</v>
      </c>
      <c r="L39" s="93">
        <f t="shared" si="4"/>
        <v>3.2715747010517218</v>
      </c>
      <c r="M39" s="81">
        <f>M35+M37+M38</f>
        <v>414.4</v>
      </c>
      <c r="N39" s="81">
        <f>N35+N37+N38</f>
        <v>322.79999999999995</v>
      </c>
      <c r="O39" s="93">
        <f t="shared" si="2"/>
        <v>1.2837670384138786</v>
      </c>
      <c r="P39" s="94">
        <f>P35+P37</f>
        <v>114.39999999999999</v>
      </c>
      <c r="Q39" s="81">
        <f>Q35+Q37</f>
        <v>103.80000000000001</v>
      </c>
      <c r="R39" s="81">
        <f>R35+R37</f>
        <v>95.10000000000001</v>
      </c>
    </row>
    <row r="40" spans="8:9" ht="21.75" customHeight="1">
      <c r="H40" s="27"/>
      <c r="I40" s="27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:R21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70" t="s">
        <v>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49"/>
      <c r="P1" s="26"/>
      <c r="Q1" s="26"/>
      <c r="R1" s="26"/>
    </row>
    <row r="2" spans="1:18" ht="15.75">
      <c r="A2" s="26"/>
      <c r="B2" s="179" t="s">
        <v>129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3.5" customHeight="1">
      <c r="A3" s="168" t="s">
        <v>3</v>
      </c>
      <c r="B3" s="168" t="s">
        <v>4</v>
      </c>
      <c r="C3" s="168" t="s">
        <v>112</v>
      </c>
      <c r="D3" s="168" t="s">
        <v>24</v>
      </c>
      <c r="E3" s="168" t="s">
        <v>113</v>
      </c>
      <c r="F3" s="168" t="s">
        <v>99</v>
      </c>
      <c r="G3" s="168" t="s">
        <v>118</v>
      </c>
      <c r="H3" s="168" t="s">
        <v>114</v>
      </c>
      <c r="I3" s="168"/>
      <c r="J3" s="168"/>
      <c r="K3" s="168" t="s">
        <v>111</v>
      </c>
      <c r="L3" s="168"/>
      <c r="M3" s="168" t="s">
        <v>121</v>
      </c>
      <c r="N3" s="168" t="s">
        <v>122</v>
      </c>
      <c r="O3" s="168" t="s">
        <v>30</v>
      </c>
      <c r="P3" s="168" t="s">
        <v>9</v>
      </c>
      <c r="Q3" s="168"/>
      <c r="R3" s="168"/>
    </row>
    <row r="4" spans="1:18" ht="104.25" customHeight="1">
      <c r="A4" s="178"/>
      <c r="B4" s="178"/>
      <c r="C4" s="168"/>
      <c r="D4" s="168"/>
      <c r="E4" s="168"/>
      <c r="F4" s="168"/>
      <c r="G4" s="168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8"/>
      <c r="N4" s="168"/>
      <c r="O4" s="168"/>
      <c r="P4" s="124" t="s">
        <v>115</v>
      </c>
      <c r="Q4" s="124" t="s">
        <v>119</v>
      </c>
      <c r="R4" s="124" t="s">
        <v>123</v>
      </c>
    </row>
    <row r="5" spans="1:18" ht="20.25" customHeight="1">
      <c r="A5" s="29" t="s">
        <v>21</v>
      </c>
      <c r="B5" s="29"/>
      <c r="C5" s="91">
        <f aca="true" t="shared" si="0" ref="C5:H5">C6+C15+C17+C22+C23+C10</f>
        <v>892</v>
      </c>
      <c r="D5" s="91">
        <f t="shared" si="0"/>
        <v>300</v>
      </c>
      <c r="E5" s="91">
        <f t="shared" si="0"/>
        <v>1192</v>
      </c>
      <c r="F5" s="91">
        <f t="shared" si="0"/>
        <v>0</v>
      </c>
      <c r="G5" s="91">
        <f t="shared" si="0"/>
        <v>166.7</v>
      </c>
      <c r="H5" s="91">
        <f t="shared" si="0"/>
        <v>243</v>
      </c>
      <c r="I5" s="92">
        <f aca="true" t="shared" si="1" ref="I5:I39">IF(E5&gt;0,H5/E5,0)</f>
        <v>0.20385906040268456</v>
      </c>
      <c r="J5" s="92">
        <f>IF(F5&gt;0,H5/F5,0)</f>
        <v>0</v>
      </c>
      <c r="K5" s="91">
        <f>K6+K15+K17+K22+K23+K10</f>
        <v>201.3</v>
      </c>
      <c r="L5" s="92">
        <f>IF(K5&gt;0,H5/K5,0)</f>
        <v>1.2071535022354694</v>
      </c>
      <c r="M5" s="91">
        <f>M6+M15+M17+M22+M23+M10</f>
        <v>76.3</v>
      </c>
      <c r="N5" s="91">
        <f>N6+N15+N17+N22+N23+N10</f>
        <v>92.8</v>
      </c>
      <c r="O5" s="92">
        <f aca="true" t="shared" si="2" ref="O5:O32">IF(N5&gt;0,M5/N5,0)</f>
        <v>0.822198275862069</v>
      </c>
      <c r="P5" s="91">
        <f>P6+P15+P17+P22+P23+P10</f>
        <v>52.3</v>
      </c>
      <c r="Q5" s="91">
        <f>Q6+Q15+Q17+Q22+Q23+Q10</f>
        <v>51.2</v>
      </c>
      <c r="R5" s="91">
        <f>R6+R15+R17+R22+R23+R10</f>
        <v>50.7</v>
      </c>
    </row>
    <row r="6" spans="1:18" ht="18">
      <c r="A6" s="9" t="s">
        <v>63</v>
      </c>
      <c r="B6" s="30">
        <v>1010200001</v>
      </c>
      <c r="C6" s="74">
        <f aca="true" t="shared" si="3" ref="C6:H6">C7+C8+C9</f>
        <v>246.8</v>
      </c>
      <c r="D6" s="74">
        <f t="shared" si="3"/>
        <v>300</v>
      </c>
      <c r="E6" s="74">
        <f t="shared" si="3"/>
        <v>546.8</v>
      </c>
      <c r="F6" s="74">
        <f t="shared" si="3"/>
        <v>0</v>
      </c>
      <c r="G6" s="74">
        <f t="shared" si="3"/>
        <v>37.7</v>
      </c>
      <c r="H6" s="74">
        <f t="shared" si="3"/>
        <v>61</v>
      </c>
      <c r="I6" s="89">
        <f t="shared" si="1"/>
        <v>0.11155815654718362</v>
      </c>
      <c r="J6" s="89">
        <f>IF(F6&gt;0,H6/F6,0)</f>
        <v>0</v>
      </c>
      <c r="K6" s="74">
        <f>K7+K8+K9</f>
        <v>59.6</v>
      </c>
      <c r="L6" s="89">
        <f aca="true" t="shared" si="4" ref="L6:L39">IF(K6&gt;0,H6/K6,0)</f>
        <v>1.023489932885906</v>
      </c>
      <c r="M6" s="74">
        <f>M7+M8+M9</f>
        <v>23.3</v>
      </c>
      <c r="N6" s="74">
        <f>N7+N8+N9</f>
        <v>21.6</v>
      </c>
      <c r="O6" s="89">
        <f t="shared" si="2"/>
        <v>1.0787037037037037</v>
      </c>
      <c r="P6" s="74">
        <f>P7+P8+P9</f>
        <v>0</v>
      </c>
      <c r="Q6" s="74">
        <f>Q7+Q8+Q9</f>
        <v>0</v>
      </c>
      <c r="R6" s="74">
        <f>R7+R8+R9</f>
        <v>0</v>
      </c>
    </row>
    <row r="7" spans="1:18" ht="18" customHeight="1">
      <c r="A7" s="10" t="s">
        <v>44</v>
      </c>
      <c r="B7" s="13">
        <v>1010201001</v>
      </c>
      <c r="C7" s="73">
        <v>246.8</v>
      </c>
      <c r="D7" s="70">
        <f>300</f>
        <v>300</v>
      </c>
      <c r="E7" s="73">
        <f>C7+D7</f>
        <v>546.8</v>
      </c>
      <c r="F7" s="73"/>
      <c r="G7" s="70">
        <v>37.7</v>
      </c>
      <c r="H7" s="70">
        <f>G7+M7</f>
        <v>61</v>
      </c>
      <c r="I7" s="79">
        <f t="shared" si="1"/>
        <v>0.11155815654718362</v>
      </c>
      <c r="J7" s="79">
        <f aca="true" t="shared" si="5" ref="J7:J37">IF(F7&gt;0,H7/F7,0)</f>
        <v>0</v>
      </c>
      <c r="K7" s="70">
        <v>59.6</v>
      </c>
      <c r="L7" s="79">
        <f t="shared" si="4"/>
        <v>1.023489932885906</v>
      </c>
      <c r="M7" s="70">
        <v>23.3</v>
      </c>
      <c r="N7" s="70">
        <v>21.6</v>
      </c>
      <c r="O7" s="79">
        <f t="shared" si="2"/>
        <v>1.0787037037037037</v>
      </c>
      <c r="P7" s="73"/>
      <c r="Q7" s="73"/>
      <c r="R7" s="73"/>
    </row>
    <row r="8" spans="1:18" ht="15" customHeight="1">
      <c r="A8" s="10" t="s">
        <v>43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/>
      <c r="N8" s="73"/>
      <c r="O8" s="79">
        <f>IF(N8&gt;0,M8/N8,0)</f>
        <v>0</v>
      </c>
      <c r="P8" s="73"/>
      <c r="Q8" s="73"/>
      <c r="R8" s="73"/>
    </row>
    <row r="9" spans="1:18" ht="18">
      <c r="A9" s="10" t="s">
        <v>42</v>
      </c>
      <c r="B9" s="13">
        <v>1010203001</v>
      </c>
      <c r="C9" s="73"/>
      <c r="D9" s="73"/>
      <c r="E9" s="73">
        <f>C9+D9</f>
        <v>0</v>
      </c>
      <c r="F9" s="73"/>
      <c r="G9" s="73"/>
      <c r="H9" s="70">
        <f>G9+M9</f>
        <v>0</v>
      </c>
      <c r="I9" s="79">
        <f t="shared" si="1"/>
        <v>0</v>
      </c>
      <c r="J9" s="79">
        <f t="shared" si="5"/>
        <v>0</v>
      </c>
      <c r="K9" s="73"/>
      <c r="L9" s="79">
        <f t="shared" si="4"/>
        <v>0</v>
      </c>
      <c r="M9" s="73"/>
      <c r="N9" s="73"/>
      <c r="O9" s="79">
        <f t="shared" si="2"/>
        <v>0</v>
      </c>
      <c r="P9" s="73"/>
      <c r="Q9" s="73"/>
      <c r="R9" s="73"/>
    </row>
    <row r="10" spans="1:18" ht="30.75" customHeight="1">
      <c r="A10" s="11" t="s">
        <v>48</v>
      </c>
      <c r="B10" s="19">
        <v>1030200001</v>
      </c>
      <c r="C10" s="74">
        <f aca="true" t="shared" si="6" ref="C10:H10">SUM(C11:C14)</f>
        <v>578.2</v>
      </c>
      <c r="D10" s="74">
        <f t="shared" si="6"/>
        <v>0</v>
      </c>
      <c r="E10" s="74">
        <f t="shared" si="6"/>
        <v>578.2</v>
      </c>
      <c r="F10" s="74">
        <f t="shared" si="6"/>
        <v>0</v>
      </c>
      <c r="G10" s="74">
        <f>SUM(G11:G14)</f>
        <v>116.49999999999999</v>
      </c>
      <c r="H10" s="74">
        <f t="shared" si="6"/>
        <v>167.8</v>
      </c>
      <c r="I10" s="68">
        <f t="shared" si="1"/>
        <v>0.2902109996540989</v>
      </c>
      <c r="J10" s="68">
        <f>IF(F10&gt;0,H10/F10,0)</f>
        <v>0</v>
      </c>
      <c r="K10" s="74">
        <f>SUM(K11:K14)</f>
        <v>133</v>
      </c>
      <c r="L10" s="68">
        <f t="shared" si="4"/>
        <v>1.261654135338346</v>
      </c>
      <c r="M10" s="74">
        <f>SUM(M11:M14)</f>
        <v>51.3</v>
      </c>
      <c r="N10" s="74">
        <f>SUM(N11:N14)</f>
        <v>70.89999999999999</v>
      </c>
      <c r="O10" s="68">
        <f t="shared" si="2"/>
        <v>0.7235543018335685</v>
      </c>
      <c r="P10" s="74">
        <f>SUM(P11:P14)</f>
        <v>0</v>
      </c>
      <c r="Q10" s="74">
        <f>SUM(Q11:Q14)</f>
        <v>0</v>
      </c>
      <c r="R10" s="74">
        <f>SUM(R11:R14)</f>
        <v>0</v>
      </c>
    </row>
    <row r="11" spans="1:18" ht="18.75" customHeight="1">
      <c r="A11" s="12" t="s">
        <v>49</v>
      </c>
      <c r="B11" s="12">
        <v>1030223101</v>
      </c>
      <c r="C11" s="73">
        <v>215.2</v>
      </c>
      <c r="D11" s="73"/>
      <c r="E11" s="69">
        <f>C11+D11</f>
        <v>215.2</v>
      </c>
      <c r="F11" s="69"/>
      <c r="G11" s="73">
        <v>51.6</v>
      </c>
      <c r="H11" s="71">
        <f>G11+M11</f>
        <v>73.7</v>
      </c>
      <c r="I11" s="72">
        <f t="shared" si="1"/>
        <v>0.34247211895910784</v>
      </c>
      <c r="J11" s="72">
        <f>IF(F11&gt;0,H11/F11,0)</f>
        <v>0</v>
      </c>
      <c r="K11" s="73">
        <v>54.8</v>
      </c>
      <c r="L11" s="72">
        <f t="shared" si="4"/>
        <v>1.3448905109489053</v>
      </c>
      <c r="M11" s="73">
        <v>22.1</v>
      </c>
      <c r="N11" s="73">
        <v>28.7</v>
      </c>
      <c r="O11" s="72">
        <f t="shared" si="2"/>
        <v>0.770034843205575</v>
      </c>
      <c r="P11" s="73"/>
      <c r="Q11" s="73"/>
      <c r="R11" s="73"/>
    </row>
    <row r="12" spans="1:18" ht="18.75" customHeight="1">
      <c r="A12" s="12" t="s">
        <v>50</v>
      </c>
      <c r="B12" s="12">
        <v>1030224101</v>
      </c>
      <c r="C12" s="73">
        <v>1</v>
      </c>
      <c r="D12" s="73"/>
      <c r="E12" s="69">
        <f>C12+D12</f>
        <v>1</v>
      </c>
      <c r="F12" s="69"/>
      <c r="G12" s="73">
        <v>0.3</v>
      </c>
      <c r="H12" s="71">
        <f>G12+M12</f>
        <v>0.5</v>
      </c>
      <c r="I12" s="72">
        <f t="shared" si="1"/>
        <v>0.5</v>
      </c>
      <c r="J12" s="72">
        <f>IF(F12&gt;0,H12/F12,0)</f>
        <v>0</v>
      </c>
      <c r="K12" s="73">
        <v>0.4</v>
      </c>
      <c r="L12" s="72">
        <f t="shared" si="4"/>
        <v>1.25</v>
      </c>
      <c r="M12" s="73">
        <v>0.2</v>
      </c>
      <c r="N12" s="73">
        <v>0.3</v>
      </c>
      <c r="O12" s="72">
        <f t="shared" si="2"/>
        <v>0.6666666666666667</v>
      </c>
      <c r="P12" s="73"/>
      <c r="Q12" s="73"/>
      <c r="R12" s="73"/>
    </row>
    <row r="13" spans="1:18" ht="18" customHeight="1">
      <c r="A13" s="12" t="s">
        <v>51</v>
      </c>
      <c r="B13" s="12">
        <v>1030225101</v>
      </c>
      <c r="C13" s="73">
        <v>391.3</v>
      </c>
      <c r="D13" s="73"/>
      <c r="E13" s="69">
        <f>C13+D13</f>
        <v>391.3</v>
      </c>
      <c r="F13" s="69"/>
      <c r="G13" s="73">
        <v>75.8</v>
      </c>
      <c r="H13" s="71">
        <f>G13+M13</f>
        <v>108.1</v>
      </c>
      <c r="I13" s="72">
        <f t="shared" si="1"/>
        <v>0.2762586250958344</v>
      </c>
      <c r="J13" s="72">
        <f>IF(F13&gt;0,H13/F13,0)</f>
        <v>0</v>
      </c>
      <c r="K13" s="73">
        <v>89.2</v>
      </c>
      <c r="L13" s="72">
        <f t="shared" si="4"/>
        <v>1.2118834080717489</v>
      </c>
      <c r="M13" s="73">
        <v>32.3</v>
      </c>
      <c r="N13" s="73">
        <v>46.8</v>
      </c>
      <c r="O13" s="72">
        <f t="shared" si="2"/>
        <v>0.6901709401709402</v>
      </c>
      <c r="P13" s="73"/>
      <c r="Q13" s="73"/>
      <c r="R13" s="73"/>
    </row>
    <row r="14" spans="1:18" ht="18" customHeight="1">
      <c r="A14" s="12" t="s">
        <v>52</v>
      </c>
      <c r="B14" s="12">
        <v>1030226101</v>
      </c>
      <c r="C14" s="73">
        <v>-29.3</v>
      </c>
      <c r="D14" s="73"/>
      <c r="E14" s="69">
        <f>C14+D14</f>
        <v>-29.3</v>
      </c>
      <c r="F14" s="69"/>
      <c r="G14" s="73">
        <v>-11.2</v>
      </c>
      <c r="H14" s="71">
        <f>G14+M14</f>
        <v>-14.5</v>
      </c>
      <c r="I14" s="72">
        <f>H14/E14</f>
        <v>0.4948805460750853</v>
      </c>
      <c r="J14" s="72">
        <f>IF(F14&gt;0,H14/F14,0)</f>
        <v>0</v>
      </c>
      <c r="K14" s="73">
        <v>-11.4</v>
      </c>
      <c r="L14" s="72">
        <f t="shared" si="4"/>
        <v>0</v>
      </c>
      <c r="M14" s="73">
        <v>-3.3</v>
      </c>
      <c r="N14" s="73">
        <v>-4.9</v>
      </c>
      <c r="O14" s="72">
        <f t="shared" si="2"/>
        <v>0</v>
      </c>
      <c r="P14" s="73"/>
      <c r="Q14" s="73"/>
      <c r="R14" s="73"/>
    </row>
    <row r="15" spans="1:18" ht="18">
      <c r="A15" s="9" t="s">
        <v>70</v>
      </c>
      <c r="B15" s="30">
        <v>1050000000</v>
      </c>
      <c r="C15" s="74">
        <f aca="true" t="shared" si="7" ref="C15:H15">C16</f>
        <v>5</v>
      </c>
      <c r="D15" s="75">
        <f t="shared" si="7"/>
        <v>0</v>
      </c>
      <c r="E15" s="75">
        <f t="shared" si="7"/>
        <v>5</v>
      </c>
      <c r="F15" s="75">
        <f t="shared" si="7"/>
        <v>0</v>
      </c>
      <c r="G15" s="74">
        <f>G16</f>
        <v>0</v>
      </c>
      <c r="H15" s="75">
        <f t="shared" si="7"/>
        <v>1</v>
      </c>
      <c r="I15" s="89">
        <f t="shared" si="1"/>
        <v>0.2</v>
      </c>
      <c r="J15" s="89">
        <f t="shared" si="5"/>
        <v>0</v>
      </c>
      <c r="K15" s="74">
        <f>K16</f>
        <v>0</v>
      </c>
      <c r="L15" s="89">
        <f t="shared" si="4"/>
        <v>0</v>
      </c>
      <c r="M15" s="74">
        <f>M16</f>
        <v>1</v>
      </c>
      <c r="N15" s="74">
        <f>N16</f>
        <v>0</v>
      </c>
      <c r="O15" s="89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>
        <v>5</v>
      </c>
      <c r="D16" s="70"/>
      <c r="E16" s="73">
        <f>C16+D16</f>
        <v>5</v>
      </c>
      <c r="F16" s="73"/>
      <c r="G16" s="73"/>
      <c r="H16" s="70">
        <f>G16+M16</f>
        <v>1</v>
      </c>
      <c r="I16" s="79">
        <f t="shared" si="1"/>
        <v>0.2</v>
      </c>
      <c r="J16" s="79">
        <f t="shared" si="5"/>
        <v>0</v>
      </c>
      <c r="K16" s="73"/>
      <c r="L16" s="79">
        <f t="shared" si="4"/>
        <v>0</v>
      </c>
      <c r="M16" s="73">
        <v>1</v>
      </c>
      <c r="N16" s="73"/>
      <c r="O16" s="79">
        <f t="shared" si="2"/>
        <v>0</v>
      </c>
      <c r="P16" s="73"/>
      <c r="Q16" s="73"/>
      <c r="R16" s="73"/>
    </row>
    <row r="17" spans="1:18" ht="18">
      <c r="A17" s="9" t="s">
        <v>71</v>
      </c>
      <c r="B17" s="30">
        <v>1060000000</v>
      </c>
      <c r="C17" s="74">
        <f aca="true" t="shared" si="8" ref="C17:H17">C18+C21</f>
        <v>60</v>
      </c>
      <c r="D17" s="75">
        <f t="shared" si="8"/>
        <v>0</v>
      </c>
      <c r="E17" s="75">
        <f t="shared" si="8"/>
        <v>60</v>
      </c>
      <c r="F17" s="75">
        <f t="shared" si="8"/>
        <v>0</v>
      </c>
      <c r="G17" s="74">
        <f>G18+G21</f>
        <v>12.3</v>
      </c>
      <c r="H17" s="75">
        <f t="shared" si="8"/>
        <v>13</v>
      </c>
      <c r="I17" s="89">
        <f t="shared" si="1"/>
        <v>0.21666666666666667</v>
      </c>
      <c r="J17" s="89">
        <f t="shared" si="5"/>
        <v>0</v>
      </c>
      <c r="K17" s="74">
        <f>K18+K21</f>
        <v>8.7</v>
      </c>
      <c r="L17" s="89">
        <f t="shared" si="4"/>
        <v>1.4942528735632186</v>
      </c>
      <c r="M17" s="74">
        <f>M18+M21</f>
        <v>0.7</v>
      </c>
      <c r="N17" s="74">
        <f>N18+N21</f>
        <v>0.30000000000000004</v>
      </c>
      <c r="O17" s="89">
        <f t="shared" si="2"/>
        <v>2.333333333333333</v>
      </c>
      <c r="P17" s="74">
        <f>P18+P21</f>
        <v>52.3</v>
      </c>
      <c r="Q17" s="74">
        <f>Q18+Q21</f>
        <v>51.2</v>
      </c>
      <c r="R17" s="74">
        <f>R18+R21</f>
        <v>50.7</v>
      </c>
    </row>
    <row r="18" spans="1:18" ht="18">
      <c r="A18" s="13" t="s">
        <v>13</v>
      </c>
      <c r="B18" s="13">
        <v>1060600000</v>
      </c>
      <c r="C18" s="73">
        <f aca="true" t="shared" si="9" ref="C18:H18">C19+C20</f>
        <v>39</v>
      </c>
      <c r="D18" s="70">
        <f t="shared" si="9"/>
        <v>0</v>
      </c>
      <c r="E18" s="70">
        <f t="shared" si="9"/>
        <v>39</v>
      </c>
      <c r="F18" s="70">
        <f t="shared" si="9"/>
        <v>0</v>
      </c>
      <c r="G18" s="73">
        <f>G19+G20</f>
        <v>12.3</v>
      </c>
      <c r="H18" s="70">
        <f t="shared" si="9"/>
        <v>12.9</v>
      </c>
      <c r="I18" s="79">
        <f t="shared" si="1"/>
        <v>0.33076923076923076</v>
      </c>
      <c r="J18" s="79">
        <f t="shared" si="5"/>
        <v>0</v>
      </c>
      <c r="K18" s="73">
        <f>K19+K20</f>
        <v>7.8999999999999995</v>
      </c>
      <c r="L18" s="79">
        <f t="shared" si="4"/>
        <v>1.6329113924050636</v>
      </c>
      <c r="M18" s="73">
        <f>M19+M20</f>
        <v>0.6</v>
      </c>
      <c r="N18" s="73">
        <f>N19+N20</f>
        <v>0.2</v>
      </c>
      <c r="O18" s="79">
        <f t="shared" si="2"/>
        <v>2.9999999999999996</v>
      </c>
      <c r="P18" s="73">
        <f>P19+P20</f>
        <v>42</v>
      </c>
      <c r="Q18" s="73">
        <f>Q19+Q20</f>
        <v>40.900000000000006</v>
      </c>
      <c r="R18" s="73">
        <f>R19+R20</f>
        <v>40.400000000000006</v>
      </c>
    </row>
    <row r="19" spans="1:18" ht="18">
      <c r="A19" s="13" t="s">
        <v>100</v>
      </c>
      <c r="B19" s="13">
        <v>1060603310</v>
      </c>
      <c r="C19" s="73">
        <v>4</v>
      </c>
      <c r="D19" s="70"/>
      <c r="E19" s="73">
        <f>C19+D19</f>
        <v>4</v>
      </c>
      <c r="F19" s="73"/>
      <c r="G19" s="73">
        <v>9.4</v>
      </c>
      <c r="H19" s="70">
        <f>G19+M19</f>
        <v>9.5</v>
      </c>
      <c r="I19" s="79">
        <f t="shared" si="1"/>
        <v>2.375</v>
      </c>
      <c r="J19" s="79">
        <f t="shared" si="5"/>
        <v>0</v>
      </c>
      <c r="K19" s="73">
        <v>4.6</v>
      </c>
      <c r="L19" s="79">
        <f t="shared" si="4"/>
        <v>2.065217391304348</v>
      </c>
      <c r="M19" s="73">
        <v>0.1</v>
      </c>
      <c r="N19" s="73"/>
      <c r="O19" s="79">
        <f t="shared" si="2"/>
        <v>0</v>
      </c>
      <c r="P19" s="73">
        <v>4.7</v>
      </c>
      <c r="Q19" s="73">
        <v>4.7</v>
      </c>
      <c r="R19" s="73">
        <v>4.7</v>
      </c>
    </row>
    <row r="20" spans="1:18" ht="18">
      <c r="A20" s="13" t="s">
        <v>101</v>
      </c>
      <c r="B20" s="13">
        <v>1060604310</v>
      </c>
      <c r="C20" s="73">
        <v>35</v>
      </c>
      <c r="D20" s="70"/>
      <c r="E20" s="73">
        <f>C20+D20</f>
        <v>35</v>
      </c>
      <c r="F20" s="73"/>
      <c r="G20" s="73">
        <v>2.9</v>
      </c>
      <c r="H20" s="70">
        <f>G20+M20</f>
        <v>3.4</v>
      </c>
      <c r="I20" s="79">
        <f t="shared" si="1"/>
        <v>0.09714285714285714</v>
      </c>
      <c r="J20" s="79">
        <f t="shared" si="5"/>
        <v>0</v>
      </c>
      <c r="K20" s="73">
        <v>3.3</v>
      </c>
      <c r="L20" s="79">
        <f t="shared" si="4"/>
        <v>1.0303030303030303</v>
      </c>
      <c r="M20" s="73">
        <v>0.5</v>
      </c>
      <c r="N20" s="73">
        <v>0.2</v>
      </c>
      <c r="O20" s="79">
        <f t="shared" si="2"/>
        <v>2.5</v>
      </c>
      <c r="P20" s="73">
        <v>37.3</v>
      </c>
      <c r="Q20" s="73">
        <v>36.2</v>
      </c>
      <c r="R20" s="73">
        <v>35.7</v>
      </c>
    </row>
    <row r="21" spans="1:20" ht="18">
      <c r="A21" s="13" t="s">
        <v>12</v>
      </c>
      <c r="B21" s="13">
        <v>1060103010</v>
      </c>
      <c r="C21" s="73">
        <v>21</v>
      </c>
      <c r="D21" s="70"/>
      <c r="E21" s="73">
        <f>C21+D21</f>
        <v>21</v>
      </c>
      <c r="F21" s="73"/>
      <c r="G21" s="73"/>
      <c r="H21" s="70">
        <f>G21+M21</f>
        <v>0.1</v>
      </c>
      <c r="I21" s="79">
        <f t="shared" si="1"/>
        <v>0.004761904761904762</v>
      </c>
      <c r="J21" s="79">
        <f t="shared" si="5"/>
        <v>0</v>
      </c>
      <c r="K21" s="73">
        <v>0.8</v>
      </c>
      <c r="L21" s="79">
        <f t="shared" si="4"/>
        <v>0.125</v>
      </c>
      <c r="M21" s="73">
        <v>0.1</v>
      </c>
      <c r="N21" s="73">
        <v>0.1</v>
      </c>
      <c r="O21" s="79">
        <f t="shared" si="2"/>
        <v>1</v>
      </c>
      <c r="P21" s="73">
        <v>10.3</v>
      </c>
      <c r="Q21" s="73">
        <v>10.3</v>
      </c>
      <c r="R21" s="73">
        <v>10.3</v>
      </c>
      <c r="S21" s="132"/>
      <c r="T21" s="163"/>
    </row>
    <row r="22" spans="1:18" ht="18">
      <c r="A22" s="9" t="s">
        <v>72</v>
      </c>
      <c r="B22" s="30">
        <v>1080402001</v>
      </c>
      <c r="C22" s="74">
        <v>2</v>
      </c>
      <c r="D22" s="75"/>
      <c r="E22" s="74">
        <f>C22+D22</f>
        <v>2</v>
      </c>
      <c r="F22" s="74"/>
      <c r="G22" s="74">
        <v>0.2</v>
      </c>
      <c r="H22" s="75">
        <f>G22+M22</f>
        <v>0.2</v>
      </c>
      <c r="I22" s="89">
        <f t="shared" si="1"/>
        <v>0.1</v>
      </c>
      <c r="J22" s="89">
        <f t="shared" si="5"/>
        <v>0</v>
      </c>
      <c r="K22" s="74"/>
      <c r="L22" s="89">
        <f t="shared" si="4"/>
        <v>0</v>
      </c>
      <c r="M22" s="74"/>
      <c r="N22" s="74"/>
      <c r="O22" s="89">
        <f t="shared" si="2"/>
        <v>0</v>
      </c>
      <c r="P22" s="74"/>
      <c r="Q22" s="74"/>
      <c r="R22" s="74"/>
    </row>
    <row r="23" spans="1:18" ht="18" hidden="1">
      <c r="A23" s="9" t="s">
        <v>73</v>
      </c>
      <c r="B23" s="30">
        <v>1090405010</v>
      </c>
      <c r="C23" s="74"/>
      <c r="D23" s="74"/>
      <c r="E23" s="74">
        <f>C23+D23</f>
        <v>0</v>
      </c>
      <c r="F23" s="74"/>
      <c r="G23" s="74"/>
      <c r="H23" s="75">
        <f>G23+M23</f>
        <v>0</v>
      </c>
      <c r="I23" s="89">
        <f t="shared" si="1"/>
        <v>0</v>
      </c>
      <c r="J23" s="89">
        <f t="shared" si="5"/>
        <v>0</v>
      </c>
      <c r="K23" s="74"/>
      <c r="L23" s="89">
        <f t="shared" si="4"/>
        <v>0</v>
      </c>
      <c r="M23" s="74"/>
      <c r="N23" s="74"/>
      <c r="O23" s="89">
        <f t="shared" si="2"/>
        <v>0</v>
      </c>
      <c r="P23" s="74"/>
      <c r="Q23" s="74"/>
      <c r="R23" s="74"/>
    </row>
    <row r="24" spans="1:18" ht="18">
      <c r="A24" s="32" t="s">
        <v>22</v>
      </c>
      <c r="B24" s="32"/>
      <c r="C24" s="78">
        <f aca="true" t="shared" si="10" ref="C24:H24">C25+C28+C32+C31+C30+C29</f>
        <v>443</v>
      </c>
      <c r="D24" s="78">
        <f t="shared" si="10"/>
        <v>76.3</v>
      </c>
      <c r="E24" s="78">
        <f t="shared" si="10"/>
        <v>519.3</v>
      </c>
      <c r="F24" s="78">
        <f t="shared" si="10"/>
        <v>0</v>
      </c>
      <c r="G24" s="78">
        <f>G25+G28+G32+G31+G30+G29</f>
        <v>40.4</v>
      </c>
      <c r="H24" s="78">
        <f t="shared" si="10"/>
        <v>70.10000000000001</v>
      </c>
      <c r="I24" s="92">
        <f t="shared" si="1"/>
        <v>0.13498940881956484</v>
      </c>
      <c r="J24" s="92">
        <f t="shared" si="5"/>
        <v>0</v>
      </c>
      <c r="K24" s="78">
        <f>K25+K28+K32+K31+K30+K29</f>
        <v>140.2</v>
      </c>
      <c r="L24" s="92">
        <f t="shared" si="4"/>
        <v>0.5000000000000001</v>
      </c>
      <c r="M24" s="78">
        <f>M25+M28+M32+M31+M30+M29</f>
        <v>29.7</v>
      </c>
      <c r="N24" s="78">
        <f>N25+N28+N32+N31+N30+N29</f>
        <v>100</v>
      </c>
      <c r="O24" s="92">
        <f t="shared" si="2"/>
        <v>0.297</v>
      </c>
      <c r="P24" s="78">
        <f>P25+P28+P32+P31+P30</f>
        <v>0</v>
      </c>
      <c r="Q24" s="78">
        <f>Q25+Q28+Q32+Q31+Q30</f>
        <v>0</v>
      </c>
      <c r="R24" s="78">
        <f>R25+R28+R32+R31+R30</f>
        <v>0</v>
      </c>
    </row>
    <row r="25" spans="1:18" ht="17.25" customHeight="1">
      <c r="A25" s="9" t="s">
        <v>74</v>
      </c>
      <c r="B25" s="30">
        <v>1110000000</v>
      </c>
      <c r="C25" s="74">
        <f aca="true" t="shared" si="11" ref="C25:H25">C26+C27</f>
        <v>93</v>
      </c>
      <c r="D25" s="74">
        <f t="shared" si="11"/>
        <v>0</v>
      </c>
      <c r="E25" s="74">
        <f t="shared" si="11"/>
        <v>93</v>
      </c>
      <c r="F25" s="74">
        <f t="shared" si="11"/>
        <v>0</v>
      </c>
      <c r="G25" s="74">
        <f>G26+G27</f>
        <v>9</v>
      </c>
      <c r="H25" s="74">
        <f t="shared" si="11"/>
        <v>14.4</v>
      </c>
      <c r="I25" s="89">
        <f t="shared" si="1"/>
        <v>0.15483870967741936</v>
      </c>
      <c r="J25" s="89">
        <f t="shared" si="5"/>
        <v>0</v>
      </c>
      <c r="K25" s="74">
        <f>K26+K27</f>
        <v>15.9</v>
      </c>
      <c r="L25" s="89">
        <f t="shared" si="4"/>
        <v>0.9056603773584906</v>
      </c>
      <c r="M25" s="74">
        <f>M26+M27</f>
        <v>5.4</v>
      </c>
      <c r="N25" s="74">
        <f>N26+N27</f>
        <v>8.9</v>
      </c>
      <c r="O25" s="89">
        <f t="shared" si="2"/>
        <v>0.6067415730337079</v>
      </c>
      <c r="P25" s="74">
        <f>P26+P27</f>
        <v>0</v>
      </c>
      <c r="Q25" s="74">
        <f>Q26+Q27</f>
        <v>0</v>
      </c>
      <c r="R25" s="74">
        <f>R26+R27</f>
        <v>0</v>
      </c>
    </row>
    <row r="26" spans="1:18" ht="18.75" customHeight="1" hidden="1">
      <c r="A26" s="13" t="s">
        <v>18</v>
      </c>
      <c r="B26" s="13">
        <v>1110903510</v>
      </c>
      <c r="C26" s="73"/>
      <c r="D26" s="70"/>
      <c r="E26" s="73">
        <f aca="true" t="shared" si="12" ref="E26:E31">C26+D26</f>
        <v>0</v>
      </c>
      <c r="F26" s="73"/>
      <c r="G26" s="73"/>
      <c r="H26" s="70">
        <f aca="true" t="shared" si="13" ref="H26:H31">G26+M26</f>
        <v>0</v>
      </c>
      <c r="I26" s="79">
        <f t="shared" si="1"/>
        <v>0</v>
      </c>
      <c r="J26" s="79">
        <f t="shared" si="5"/>
        <v>0</v>
      </c>
      <c r="K26" s="73"/>
      <c r="L26" s="79">
        <f t="shared" si="4"/>
        <v>0</v>
      </c>
      <c r="M26" s="73"/>
      <c r="N26" s="73"/>
      <c r="O26" s="79">
        <f t="shared" si="2"/>
        <v>0</v>
      </c>
      <c r="P26" s="73"/>
      <c r="Q26" s="73"/>
      <c r="R26" s="73"/>
    </row>
    <row r="27" spans="1:18" ht="18">
      <c r="A27" s="33" t="s">
        <v>23</v>
      </c>
      <c r="B27" s="13">
        <v>1110904510</v>
      </c>
      <c r="C27" s="73">
        <v>93</v>
      </c>
      <c r="D27" s="70"/>
      <c r="E27" s="73">
        <f t="shared" si="12"/>
        <v>93</v>
      </c>
      <c r="F27" s="73"/>
      <c r="G27" s="73">
        <v>9</v>
      </c>
      <c r="H27" s="70">
        <f t="shared" si="13"/>
        <v>14.4</v>
      </c>
      <c r="I27" s="79">
        <f t="shared" si="1"/>
        <v>0.15483870967741936</v>
      </c>
      <c r="J27" s="79">
        <f t="shared" si="5"/>
        <v>0</v>
      </c>
      <c r="K27" s="73">
        <v>15.9</v>
      </c>
      <c r="L27" s="79">
        <f t="shared" si="4"/>
        <v>0.9056603773584906</v>
      </c>
      <c r="M27" s="73">
        <v>5.4</v>
      </c>
      <c r="N27" s="73">
        <v>8.9</v>
      </c>
      <c r="O27" s="79">
        <f t="shared" si="2"/>
        <v>0.6067415730337079</v>
      </c>
      <c r="P27" s="73"/>
      <c r="Q27" s="73"/>
      <c r="R27" s="73"/>
    </row>
    <row r="28" spans="1:18" ht="18">
      <c r="A28" s="9" t="s">
        <v>38</v>
      </c>
      <c r="B28" s="30">
        <v>1130299510</v>
      </c>
      <c r="C28" s="74">
        <v>350</v>
      </c>
      <c r="D28" s="74">
        <f>76.3</f>
        <v>76.3</v>
      </c>
      <c r="E28" s="128">
        <f t="shared" si="12"/>
        <v>426.3</v>
      </c>
      <c r="F28" s="74"/>
      <c r="G28" s="74">
        <v>31.4</v>
      </c>
      <c r="H28" s="75">
        <f t="shared" si="13"/>
        <v>55.5</v>
      </c>
      <c r="I28" s="89">
        <f t="shared" si="1"/>
        <v>0.13019000703729766</v>
      </c>
      <c r="J28" s="89">
        <f t="shared" si="5"/>
        <v>0</v>
      </c>
      <c r="K28" s="74">
        <v>64.3</v>
      </c>
      <c r="L28" s="89">
        <f t="shared" si="4"/>
        <v>0.8631415241057543</v>
      </c>
      <c r="M28" s="74">
        <v>24.1</v>
      </c>
      <c r="N28" s="74">
        <v>31.1</v>
      </c>
      <c r="O28" s="89">
        <f t="shared" si="2"/>
        <v>0.77491961414791</v>
      </c>
      <c r="P28" s="74"/>
      <c r="Q28" s="74"/>
      <c r="R28" s="74"/>
    </row>
    <row r="29" spans="1:18" ht="18">
      <c r="A29" s="9" t="s">
        <v>75</v>
      </c>
      <c r="B29" s="30">
        <v>1140205310</v>
      </c>
      <c r="C29" s="74"/>
      <c r="D29" s="74"/>
      <c r="E29" s="74">
        <f t="shared" si="12"/>
        <v>0</v>
      </c>
      <c r="F29" s="74"/>
      <c r="G29" s="74"/>
      <c r="H29" s="75">
        <f t="shared" si="13"/>
        <v>0</v>
      </c>
      <c r="I29" s="89">
        <f>IF(E29&gt;0,H29/E29,0)</f>
        <v>0</v>
      </c>
      <c r="J29" s="89">
        <f>IF(F29&gt;0,H29/F29,0)</f>
        <v>0</v>
      </c>
      <c r="K29" s="74"/>
      <c r="L29" s="89">
        <f t="shared" si="4"/>
        <v>0</v>
      </c>
      <c r="M29" s="74"/>
      <c r="N29" s="74"/>
      <c r="O29" s="89">
        <f t="shared" si="2"/>
        <v>0</v>
      </c>
      <c r="P29" s="74"/>
      <c r="Q29" s="74"/>
      <c r="R29" s="74"/>
    </row>
    <row r="30" spans="1:18" ht="18">
      <c r="A30" s="9" t="s">
        <v>76</v>
      </c>
      <c r="B30" s="30">
        <v>1140601410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79</v>
      </c>
      <c r="B31" s="30">
        <v>1169005010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>IF(E31&gt;0,H31/E31,0)</f>
        <v>0</v>
      </c>
      <c r="J31" s="89">
        <f>IF(F31&gt;0,H31/F31,0)</f>
        <v>0</v>
      </c>
      <c r="K31" s="74">
        <v>60</v>
      </c>
      <c r="L31" s="89">
        <f t="shared" si="4"/>
        <v>0</v>
      </c>
      <c r="M31" s="74"/>
      <c r="N31" s="74">
        <v>60</v>
      </c>
      <c r="O31" s="89">
        <f t="shared" si="2"/>
        <v>0</v>
      </c>
      <c r="P31" s="74"/>
      <c r="Q31" s="74"/>
      <c r="R31" s="74"/>
    </row>
    <row r="32" spans="1:18" ht="18">
      <c r="A32" s="9" t="s">
        <v>69</v>
      </c>
      <c r="B32" s="30">
        <v>1170000000</v>
      </c>
      <c r="C32" s="74">
        <f>SUM(C33:C34)</f>
        <v>0</v>
      </c>
      <c r="D32" s="74">
        <f aca="true" t="shared" si="14" ref="D32:R32">SUM(D33:D34)</f>
        <v>0</v>
      </c>
      <c r="E32" s="74">
        <f t="shared" si="14"/>
        <v>0</v>
      </c>
      <c r="F32" s="74">
        <f t="shared" si="14"/>
        <v>0</v>
      </c>
      <c r="G32" s="74">
        <f>SUM(G33:G34)</f>
        <v>0</v>
      </c>
      <c r="H32" s="74">
        <f t="shared" si="14"/>
        <v>0.2</v>
      </c>
      <c r="I32" s="89">
        <f>IF(E32&gt;0,H32/E32,0)</f>
        <v>0</v>
      </c>
      <c r="J32" s="89">
        <f>IF(F32&gt;0,H32/F32,0)</f>
        <v>0</v>
      </c>
      <c r="K32" s="74">
        <f>SUM(K33:K34)</f>
        <v>0</v>
      </c>
      <c r="L32" s="89">
        <f t="shared" si="4"/>
        <v>0</v>
      </c>
      <c r="M32" s="74">
        <f t="shared" si="14"/>
        <v>0.2</v>
      </c>
      <c r="N32" s="74">
        <f t="shared" si="14"/>
        <v>0</v>
      </c>
      <c r="O32" s="89">
        <f t="shared" si="2"/>
        <v>0</v>
      </c>
      <c r="P32" s="74">
        <f t="shared" si="14"/>
        <v>0</v>
      </c>
      <c r="Q32" s="74">
        <f>SUM(Q33:Q34)</f>
        <v>0</v>
      </c>
      <c r="R32" s="74">
        <f t="shared" si="14"/>
        <v>0</v>
      </c>
    </row>
    <row r="33" spans="1:18" ht="18">
      <c r="A33" s="13" t="s">
        <v>8</v>
      </c>
      <c r="B33" s="13">
        <v>1170103003</v>
      </c>
      <c r="C33" s="73"/>
      <c r="D33" s="73"/>
      <c r="E33" s="73">
        <f>C33+D33</f>
        <v>0</v>
      </c>
      <c r="F33" s="73"/>
      <c r="G33" s="73"/>
      <c r="H33" s="70">
        <f>G33+M33</f>
        <v>0</v>
      </c>
      <c r="I33" s="79">
        <f t="shared" si="1"/>
        <v>0</v>
      </c>
      <c r="J33" s="79">
        <f t="shared" si="5"/>
        <v>0</v>
      </c>
      <c r="K33" s="73"/>
      <c r="L33" s="79">
        <f t="shared" si="4"/>
        <v>0</v>
      </c>
      <c r="M33" s="73"/>
      <c r="N33" s="73"/>
      <c r="O33" s="79">
        <f aca="true" t="shared" si="15" ref="O33:O39">IF(N33&gt;0,M33/N33,0)</f>
        <v>0</v>
      </c>
      <c r="P33" s="79"/>
      <c r="Q33" s="79"/>
      <c r="R33" s="79"/>
    </row>
    <row r="34" spans="1:18" ht="18">
      <c r="A34" s="13" t="s">
        <v>33</v>
      </c>
      <c r="B34" s="13">
        <v>1170505010</v>
      </c>
      <c r="C34" s="73"/>
      <c r="D34" s="84"/>
      <c r="E34" s="73">
        <f>C34+D34</f>
        <v>0</v>
      </c>
      <c r="F34" s="73"/>
      <c r="G34" s="73"/>
      <c r="H34" s="70">
        <f>G34+M34</f>
        <v>0.2</v>
      </c>
      <c r="I34" s="79">
        <f>IF(E34&gt;0,H34/E34,0)</f>
        <v>0</v>
      </c>
      <c r="J34" s="79">
        <f>IF(F34&gt;0,H34/F34,0)</f>
        <v>0</v>
      </c>
      <c r="K34" s="73"/>
      <c r="L34" s="79">
        <f>IF(K34&gt;0,H34/K34,0)</f>
        <v>0</v>
      </c>
      <c r="M34" s="73">
        <v>0.2</v>
      </c>
      <c r="N34" s="73"/>
      <c r="O34" s="79">
        <f t="shared" si="15"/>
        <v>0</v>
      </c>
      <c r="P34" s="73"/>
      <c r="Q34" s="73"/>
      <c r="R34" s="73"/>
    </row>
    <row r="35" spans="1:18" ht="18">
      <c r="A35" s="9" t="s">
        <v>6</v>
      </c>
      <c r="B35" s="9">
        <v>1000000000</v>
      </c>
      <c r="C35" s="80">
        <f aca="true" t="shared" si="16" ref="C35:H35">C5+C24</f>
        <v>1335</v>
      </c>
      <c r="D35" s="80">
        <f t="shared" si="16"/>
        <v>376.3</v>
      </c>
      <c r="E35" s="80">
        <f t="shared" si="16"/>
        <v>1711.3</v>
      </c>
      <c r="F35" s="81">
        <f t="shared" si="16"/>
        <v>0</v>
      </c>
      <c r="G35" s="81">
        <f>G5+G24</f>
        <v>207.1</v>
      </c>
      <c r="H35" s="81">
        <f t="shared" si="16"/>
        <v>313.1</v>
      </c>
      <c r="I35" s="93">
        <f t="shared" si="1"/>
        <v>0.18296032256179515</v>
      </c>
      <c r="J35" s="93">
        <f t="shared" si="5"/>
        <v>0</v>
      </c>
      <c r="K35" s="81">
        <f>K5+K24</f>
        <v>341.5</v>
      </c>
      <c r="L35" s="93">
        <f t="shared" si="4"/>
        <v>0.9168374816983895</v>
      </c>
      <c r="M35" s="81">
        <f>M5+M24</f>
        <v>106</v>
      </c>
      <c r="N35" s="81">
        <f>N5+N24</f>
        <v>192.8</v>
      </c>
      <c r="O35" s="93">
        <f t="shared" si="15"/>
        <v>0.5497925311203319</v>
      </c>
      <c r="P35" s="81">
        <f>P5+P24</f>
        <v>52.3</v>
      </c>
      <c r="Q35" s="81">
        <f>Q5+Q24</f>
        <v>51.2</v>
      </c>
      <c r="R35" s="81">
        <f>R5+R24</f>
        <v>50.7</v>
      </c>
    </row>
    <row r="36" spans="1:18" ht="18">
      <c r="A36" s="9" t="s">
        <v>92</v>
      </c>
      <c r="B36" s="9"/>
      <c r="C36" s="81">
        <f aca="true" t="shared" si="17" ref="C36:H36">C35-C10</f>
        <v>756.8</v>
      </c>
      <c r="D36" s="90">
        <f t="shared" si="17"/>
        <v>376.3</v>
      </c>
      <c r="E36" s="81">
        <f t="shared" si="17"/>
        <v>1133.1</v>
      </c>
      <c r="F36" s="81">
        <f t="shared" si="17"/>
        <v>0</v>
      </c>
      <c r="G36" s="81">
        <f>G35-G10</f>
        <v>90.60000000000001</v>
      </c>
      <c r="H36" s="81">
        <f t="shared" si="17"/>
        <v>145.3</v>
      </c>
      <c r="I36" s="93">
        <f>IF(E36&gt;0,H36/E36,0)</f>
        <v>0.12823228311711238</v>
      </c>
      <c r="J36" s="93">
        <f>IF(F36&gt;0,H36/F36,0)</f>
        <v>0</v>
      </c>
      <c r="K36" s="81">
        <f>K35-K10</f>
        <v>208.5</v>
      </c>
      <c r="L36" s="93">
        <f t="shared" si="4"/>
        <v>0.6968824940047962</v>
      </c>
      <c r="M36" s="81">
        <f>M35-M10</f>
        <v>54.7</v>
      </c>
      <c r="N36" s="81">
        <f>N35-N10</f>
        <v>121.90000000000002</v>
      </c>
      <c r="O36" s="93">
        <f t="shared" si="15"/>
        <v>0.44872846595570137</v>
      </c>
      <c r="P36" s="81"/>
      <c r="Q36" s="81"/>
      <c r="R36" s="81"/>
    </row>
    <row r="37" spans="1:18" ht="18">
      <c r="A37" s="13" t="s">
        <v>36</v>
      </c>
      <c r="B37" s="13">
        <v>2000000000</v>
      </c>
      <c r="C37" s="73">
        <v>4572.151</v>
      </c>
      <c r="D37" s="85"/>
      <c r="E37" s="85">
        <f>C37+D37</f>
        <v>4572.151</v>
      </c>
      <c r="F37" s="73"/>
      <c r="G37" s="73">
        <v>1031.1</v>
      </c>
      <c r="H37" s="70">
        <f>G37+M37</f>
        <v>1250.1</v>
      </c>
      <c r="I37" s="79">
        <f t="shared" si="1"/>
        <v>0.27341616670140595</v>
      </c>
      <c r="J37" s="79">
        <f t="shared" si="5"/>
        <v>0</v>
      </c>
      <c r="K37" s="73">
        <v>1257.1</v>
      </c>
      <c r="L37" s="79">
        <f t="shared" si="4"/>
        <v>0.9944316283509665</v>
      </c>
      <c r="M37" s="73">
        <v>219</v>
      </c>
      <c r="N37" s="73">
        <v>180.4</v>
      </c>
      <c r="O37" s="79">
        <f t="shared" si="15"/>
        <v>1.2139689578713968</v>
      </c>
      <c r="P37" s="73"/>
      <c r="Q37" s="73"/>
      <c r="R37" s="73"/>
    </row>
    <row r="38" spans="1:18" ht="18">
      <c r="A38" s="13" t="s">
        <v>46</v>
      </c>
      <c r="B38" s="34" t="s">
        <v>37</v>
      </c>
      <c r="C38" s="73"/>
      <c r="D38" s="85"/>
      <c r="E38" s="73">
        <f>C38+D38</f>
        <v>0</v>
      </c>
      <c r="F38" s="73"/>
      <c r="G38" s="73"/>
      <c r="H38" s="70">
        <f>G38+M38</f>
        <v>55</v>
      </c>
      <c r="I38" s="79">
        <f>IF(E38&gt;0,H38/E38,0)</f>
        <v>0</v>
      </c>
      <c r="J38" s="79">
        <f>IF(F38&gt;0,H38/F38,0)</f>
        <v>0</v>
      </c>
      <c r="K38" s="73">
        <v>40</v>
      </c>
      <c r="L38" s="79">
        <f t="shared" si="4"/>
        <v>1.375</v>
      </c>
      <c r="M38" s="73">
        <v>55</v>
      </c>
      <c r="N38" s="73">
        <v>40</v>
      </c>
      <c r="O38" s="79">
        <f t="shared" si="15"/>
        <v>1.375</v>
      </c>
      <c r="P38" s="73"/>
      <c r="Q38" s="73"/>
      <c r="R38" s="73"/>
    </row>
    <row r="39" spans="1:18" ht="18">
      <c r="A39" s="9" t="s">
        <v>2</v>
      </c>
      <c r="B39" s="9">
        <v>0</v>
      </c>
      <c r="C39" s="80">
        <f aca="true" t="shared" si="18" ref="C39:H39">C35+C37+C38</f>
        <v>5907.151</v>
      </c>
      <c r="D39" s="80">
        <f t="shared" si="18"/>
        <v>376.3</v>
      </c>
      <c r="E39" s="80">
        <f t="shared" si="18"/>
        <v>6283.451</v>
      </c>
      <c r="F39" s="81">
        <f t="shared" si="18"/>
        <v>0</v>
      </c>
      <c r="G39" s="81">
        <f t="shared" si="18"/>
        <v>1238.1999999999998</v>
      </c>
      <c r="H39" s="81">
        <f t="shared" si="18"/>
        <v>1618.1999999999998</v>
      </c>
      <c r="I39" s="93">
        <f t="shared" si="1"/>
        <v>0.25753363875997437</v>
      </c>
      <c r="J39" s="93"/>
      <c r="K39" s="81">
        <f>K35+K37+K38</f>
        <v>1638.6</v>
      </c>
      <c r="L39" s="93">
        <f t="shared" si="4"/>
        <v>0.9875503478579274</v>
      </c>
      <c r="M39" s="81">
        <f>M35+M37+M38</f>
        <v>380</v>
      </c>
      <c r="N39" s="81">
        <f>N35+N37+N38</f>
        <v>413.20000000000005</v>
      </c>
      <c r="O39" s="93">
        <f t="shared" si="15"/>
        <v>0.919651500484027</v>
      </c>
      <c r="P39" s="81">
        <f>P35+P37+P38</f>
        <v>52.3</v>
      </c>
      <c r="Q39" s="81">
        <f>Q35+Q37+Q38</f>
        <v>51.2</v>
      </c>
      <c r="R39" s="81">
        <f>R35+R37+R38</f>
        <v>50.7</v>
      </c>
    </row>
    <row r="40" spans="7:9" ht="18" customHeight="1">
      <c r="G40" s="5"/>
      <c r="I40" s="157"/>
    </row>
    <row r="41" ht="12.75">
      <c r="G41" s="6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pane xSplit="2" ySplit="6" topLeftCell="D3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24" sqref="H24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4.875" style="0" customWidth="1"/>
    <col min="9" max="9" width="12.25390625" style="0" customWidth="1"/>
    <col min="10" max="10" width="11.75390625" style="0" hidden="1" customWidth="1"/>
    <col min="11" max="11" width="12.875" style="0" customWidth="1"/>
    <col min="12" max="12" width="14.375" style="0" customWidth="1"/>
    <col min="13" max="14" width="13.625" style="0" customWidth="1"/>
    <col min="15" max="15" width="14.00390625" style="0" customWidth="1"/>
    <col min="16" max="16" width="10.00390625" style="0" customWidth="1"/>
    <col min="17" max="17" width="11.25390625" style="0" customWidth="1"/>
    <col min="18" max="18" width="11.75390625" style="0" customWidth="1"/>
  </cols>
  <sheetData>
    <row r="1" spans="1:18" ht="21" customHeight="1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6.5" customHeight="1">
      <c r="A2" s="182" t="s">
        <v>130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18" ht="15.75" customHeight="1">
      <c r="A3" s="183" t="s">
        <v>3</v>
      </c>
      <c r="B3" s="183" t="s">
        <v>4</v>
      </c>
      <c r="C3" s="180" t="s">
        <v>112</v>
      </c>
      <c r="D3" s="180" t="s">
        <v>24</v>
      </c>
      <c r="E3" s="180" t="s">
        <v>113</v>
      </c>
      <c r="F3" s="180" t="s">
        <v>99</v>
      </c>
      <c r="G3" s="180" t="s">
        <v>118</v>
      </c>
      <c r="H3" s="180" t="s">
        <v>114</v>
      </c>
      <c r="I3" s="180"/>
      <c r="J3" s="180"/>
      <c r="K3" s="180" t="s">
        <v>111</v>
      </c>
      <c r="L3" s="180"/>
      <c r="M3" s="180" t="s">
        <v>121</v>
      </c>
      <c r="N3" s="180" t="s">
        <v>122</v>
      </c>
      <c r="O3" s="180" t="s">
        <v>30</v>
      </c>
      <c r="P3" s="180" t="s">
        <v>9</v>
      </c>
      <c r="Q3" s="180"/>
      <c r="R3" s="180"/>
    </row>
    <row r="4" spans="1:18" ht="99" customHeight="1">
      <c r="A4" s="184"/>
      <c r="B4" s="184"/>
      <c r="C4" s="180"/>
      <c r="D4" s="180"/>
      <c r="E4" s="180"/>
      <c r="F4" s="180"/>
      <c r="G4" s="180"/>
      <c r="H4" s="129" t="s">
        <v>120</v>
      </c>
      <c r="I4" s="129" t="s">
        <v>10</v>
      </c>
      <c r="J4" s="129" t="s">
        <v>29</v>
      </c>
      <c r="K4" s="129" t="s">
        <v>120</v>
      </c>
      <c r="L4" s="129" t="s">
        <v>30</v>
      </c>
      <c r="M4" s="180"/>
      <c r="N4" s="180"/>
      <c r="O4" s="180"/>
      <c r="P4" s="127" t="s">
        <v>115</v>
      </c>
      <c r="Q4" s="127" t="s">
        <v>119</v>
      </c>
      <c r="R4" s="127" t="s">
        <v>123</v>
      </c>
    </row>
    <row r="5" spans="1:18" ht="18">
      <c r="A5" s="7" t="s">
        <v>21</v>
      </c>
      <c r="B5" s="17"/>
      <c r="C5" s="96">
        <f aca="true" t="shared" si="0" ref="C5:H5">C6+C10+C15+C21+C25+C26</f>
        <v>69593.98999999999</v>
      </c>
      <c r="D5" s="96">
        <f t="shared" si="0"/>
        <v>698.65</v>
      </c>
      <c r="E5" s="126">
        <f t="shared" si="0"/>
        <v>70292.64</v>
      </c>
      <c r="F5" s="96" t="e">
        <f t="shared" si="0"/>
        <v>#REF!</v>
      </c>
      <c r="G5" s="96">
        <f t="shared" si="0"/>
        <v>9028.3</v>
      </c>
      <c r="H5" s="122">
        <f t="shared" si="0"/>
        <v>16838.600000000002</v>
      </c>
      <c r="I5" s="97">
        <f>IF(E5&gt;0,H5/E5,0)</f>
        <v>0.23954997279942825</v>
      </c>
      <c r="J5" s="97" t="e">
        <f>IF(F5&gt;0,H5/F5,0)</f>
        <v>#REF!</v>
      </c>
      <c r="K5" s="96">
        <f>K6+K10+K15+K21+K25+K26</f>
        <v>13772.2</v>
      </c>
      <c r="L5" s="97">
        <f>IF(K5&gt;0,H5/K5,0)</f>
        <v>1.2226514282394971</v>
      </c>
      <c r="M5" s="96">
        <f>M6+M10+M15+M21+M25+M26</f>
        <v>7810.3</v>
      </c>
      <c r="N5" s="96">
        <f>N6+N10+N15+N21+N25+N26</f>
        <v>7000.8</v>
      </c>
      <c r="O5" s="97">
        <f>IF(N5&gt;0,M5/N5,0)</f>
        <v>1.1156296423265912</v>
      </c>
      <c r="P5" s="122">
        <f>P6+P10+P15+P21+P25+P26</f>
        <v>2023.6</v>
      </c>
      <c r="Q5" s="96">
        <f>Q6+Q10+Q15+Q21+Q25+Q26</f>
        <v>3557.7000000000003</v>
      </c>
      <c r="R5" s="96">
        <f>R6+R10+R15+R21+R25+R26</f>
        <v>2448.4</v>
      </c>
    </row>
    <row r="6" spans="1:18" ht="18">
      <c r="A6" s="9" t="s">
        <v>63</v>
      </c>
      <c r="B6" s="18">
        <v>1010200001</v>
      </c>
      <c r="C6" s="98">
        <f>C7+C8+C9</f>
        <v>19945</v>
      </c>
      <c r="D6" s="156">
        <f>D7+D8+D9</f>
        <v>623.15</v>
      </c>
      <c r="E6" s="156">
        <f>E7+E8+E9</f>
        <v>20568.149999999998</v>
      </c>
      <c r="F6" s="98" t="e">
        <f>F7+F8+F9+#REF!</f>
        <v>#REF!</v>
      </c>
      <c r="G6" s="98">
        <f>G7+G8+G9</f>
        <v>3279.4999999999995</v>
      </c>
      <c r="H6" s="98">
        <f>H7+H8+H9</f>
        <v>5126.9</v>
      </c>
      <c r="I6" s="99">
        <f aca="true" t="shared" si="1" ref="I6:I50">IF(E6&gt;0,H6/E6,0)</f>
        <v>0.24926403201065725</v>
      </c>
      <c r="J6" s="99" t="e">
        <f aca="true" t="shared" si="2" ref="J6:J50">IF(F6&gt;0,H6/F6,0)</f>
        <v>#REF!</v>
      </c>
      <c r="K6" s="98">
        <f>K7+K8+K9</f>
        <v>4798.400000000001</v>
      </c>
      <c r="L6" s="99">
        <f aca="true" t="shared" si="3" ref="L6:L50">IF(K6&gt;0,H6/K6,0)</f>
        <v>1.068460320106702</v>
      </c>
      <c r="M6" s="98">
        <f>M7+M8+M9</f>
        <v>1847.3999999999996</v>
      </c>
      <c r="N6" s="98">
        <f>N7+N8+N9</f>
        <v>1741.0000000000002</v>
      </c>
      <c r="O6" s="99">
        <f aca="true" t="shared" si="4" ref="O6:O50">IF(N6&gt;0,M6/N6,0)</f>
        <v>1.061114302125215</v>
      </c>
      <c r="P6" s="98">
        <f>P7+P8+P9</f>
        <v>119.6</v>
      </c>
      <c r="Q6" s="98">
        <f>Q7+Q8+Q9</f>
        <v>123.80000000000001</v>
      </c>
      <c r="R6" s="98">
        <f>R7+R8+R9</f>
        <v>115.6</v>
      </c>
    </row>
    <row r="7" spans="1:18" ht="18" customHeight="1">
      <c r="A7" s="10" t="s">
        <v>40</v>
      </c>
      <c r="B7" s="13">
        <v>1010201001</v>
      </c>
      <c r="C7" s="100">
        <f>муниц!C6+'Лен '!C7+Высокор!C7+Гост!C7+Новотр!C7+Черн!C7</f>
        <v>19793</v>
      </c>
      <c r="D7" s="120">
        <f>муниц!D6+'Лен '!D7+Высокор!D7+Гост!D7+Новотр!D7+Черн!D7</f>
        <v>610</v>
      </c>
      <c r="E7" s="104">
        <f>C7+D7</f>
        <v>20403</v>
      </c>
      <c r="F7" s="100">
        <f>муниц!F6+'Лен '!F7+Высокор!F7+Гост!F7+Новотр!F7+Черн!F7</f>
        <v>9824.7</v>
      </c>
      <c r="G7" s="100">
        <f>муниц!G6+'Лен '!G7+Высокор!G7+Гост!G7+Новотр!G7+Черн!G7</f>
        <v>3215.1999999999994</v>
      </c>
      <c r="H7" s="102">
        <f>G7+M7</f>
        <v>5064.4</v>
      </c>
      <c r="I7" s="103">
        <f t="shared" si="1"/>
        <v>0.2482183992550115</v>
      </c>
      <c r="J7" s="103">
        <f t="shared" si="2"/>
        <v>0.5154762995307745</v>
      </c>
      <c r="K7" s="100">
        <f>муниц!K6+'Лен '!K7+Высокор!K7+Гост!K7+Новотр!K7+Черн!K7</f>
        <v>4789.3</v>
      </c>
      <c r="L7" s="103">
        <f t="shared" si="3"/>
        <v>1.0574405445472197</v>
      </c>
      <c r="M7" s="100">
        <f>муниц!M6+'Лен '!M7+Высокор!M7+Гост!M7+Новотр!M7+Черн!M7</f>
        <v>1849.1999999999998</v>
      </c>
      <c r="N7" s="100">
        <f>муниц!N6+'Лен '!N7+Высокор!N7+Гост!N7+Новотр!N7+Черн!N7</f>
        <v>1736.6000000000001</v>
      </c>
      <c r="O7" s="103">
        <f t="shared" si="4"/>
        <v>1.0648393412415063</v>
      </c>
      <c r="P7" s="100">
        <f>муниц!P6+'Лен '!P7+Высокор!P7+Гост!P7+Новотр!P7+Черн!P7</f>
        <v>91.2</v>
      </c>
      <c r="Q7" s="100">
        <f>муниц!Q6+'Лен '!Q7+Высокор!Q7+Гост!Q7+Новотр!Q7+Черн!Q7</f>
        <v>93.30000000000001</v>
      </c>
      <c r="R7" s="100">
        <f>муниц!R6+'Лен '!R7+Высокор!R7+Гост!R7+Новотр!R7+Черн!R7</f>
        <v>85.1</v>
      </c>
    </row>
    <row r="8" spans="1:18" ht="18.75" customHeight="1">
      <c r="A8" s="10" t="s">
        <v>41</v>
      </c>
      <c r="B8" s="13">
        <v>1010202001</v>
      </c>
      <c r="C8" s="100">
        <f>муниц!C7+'Лен '!C8+Высокор!C8+Гост!C8+Новотр!C8+Черн!C8</f>
        <v>46.6</v>
      </c>
      <c r="D8" s="100">
        <f>муниц!D7+'Лен '!D8+Высокор!D8+Гост!D8+Новотр!D8+Черн!D8</f>
        <v>0</v>
      </c>
      <c r="E8" s="104">
        <f>C8+D8</f>
        <v>46.6</v>
      </c>
      <c r="F8" s="100">
        <f>муниц!F7+'Лен '!F8+Высокор!F8+Гост!F8+Новотр!F8+Черн!F8</f>
        <v>26.1</v>
      </c>
      <c r="G8" s="100">
        <f>муниц!G7+'Лен '!G8+Высокор!G8+Гост!G8+Новотр!G8+Черн!G8</f>
        <v>0</v>
      </c>
      <c r="H8" s="102">
        <f>G8+M8</f>
        <v>0.6000000000000001</v>
      </c>
      <c r="I8" s="103">
        <f t="shared" si="1"/>
        <v>0.012875536480686697</v>
      </c>
      <c r="J8" s="103">
        <f t="shared" si="2"/>
        <v>0.02298850574712644</v>
      </c>
      <c r="K8" s="100">
        <f>муниц!K7+'Лен '!K8+Высокор!K8+Гост!K8+Новотр!K8+Черн!K8</f>
        <v>1</v>
      </c>
      <c r="L8" s="103">
        <f t="shared" si="3"/>
        <v>0.6000000000000001</v>
      </c>
      <c r="M8" s="100">
        <f>муниц!M7+'Лен '!M8+Высокор!M8+Гост!M8+Новотр!M8+Черн!M8</f>
        <v>0.6000000000000001</v>
      </c>
      <c r="N8" s="100">
        <f>муниц!N7+'Лен '!N8+Высокор!N8+Гост!N8+Новотр!N8+Черн!N8</f>
        <v>1</v>
      </c>
      <c r="O8" s="103">
        <f t="shared" si="4"/>
        <v>0.6000000000000001</v>
      </c>
      <c r="P8" s="100">
        <f>муниц!P7+'Лен '!P8+Высокор!P8+Гост!P8+Новотр!P8+Черн!P8</f>
        <v>0</v>
      </c>
      <c r="Q8" s="100">
        <f>муниц!Q7+'Лен '!Q8+Высокор!Q8+Гост!Q8+Новотр!Q8+Черн!Q8</f>
        <v>2.0999999999999996</v>
      </c>
      <c r="R8" s="100">
        <f>муниц!R7+'Лен '!R8+Высокор!R8+Гост!R8+Новотр!R8+Черн!R8</f>
        <v>2.0999999999999996</v>
      </c>
    </row>
    <row r="9" spans="1:18" ht="17.25" customHeight="1">
      <c r="A9" s="10" t="s">
        <v>42</v>
      </c>
      <c r="B9" s="13">
        <v>1010203001</v>
      </c>
      <c r="C9" s="100">
        <f>муниц!C8+'Лен '!C9+Высокор!C9+Гост!C9+Новотр!C9+Черн!C9</f>
        <v>105.4</v>
      </c>
      <c r="D9" s="100">
        <f>муниц!D8+'Лен '!D9+Высокор!D9+Гост!D9+Новотр!D9+Черн!D9</f>
        <v>13.15</v>
      </c>
      <c r="E9" s="104">
        <f>C9+D9</f>
        <v>118.55000000000001</v>
      </c>
      <c r="F9" s="100">
        <f>муниц!F8+'Лен '!F9+Высокор!F9+Гост!F9+Новотр!F9+Черн!F9</f>
        <v>47</v>
      </c>
      <c r="G9" s="100">
        <f>муниц!G8+'Лен '!G9+Высокор!G9+Гост!G9+Новотр!G9+Черн!G9</f>
        <v>64.3</v>
      </c>
      <c r="H9" s="102">
        <f>G9+M9</f>
        <v>61.9</v>
      </c>
      <c r="I9" s="103">
        <f t="shared" si="1"/>
        <v>0.5221425558835934</v>
      </c>
      <c r="J9" s="103">
        <f t="shared" si="2"/>
        <v>1.3170212765957447</v>
      </c>
      <c r="K9" s="100">
        <f>муниц!K8+'Лен '!K9+Высокор!K9+Гост!K9+Новотр!K9+Черн!K9</f>
        <v>8.1</v>
      </c>
      <c r="L9" s="103">
        <f t="shared" si="3"/>
        <v>7.6419753086419755</v>
      </c>
      <c r="M9" s="100">
        <f>муниц!M8+'Лен '!M9+Высокор!M9+Гост!M9+Новотр!M9+Черн!M9</f>
        <v>-2.4</v>
      </c>
      <c r="N9" s="100">
        <f>муниц!N8+'Лен '!N9+Высокор!N9+Гост!N9+Новотр!N9+Черн!N9</f>
        <v>3.4000000000000004</v>
      </c>
      <c r="O9" s="103">
        <f t="shared" si="4"/>
        <v>-0.7058823529411764</v>
      </c>
      <c r="P9" s="100">
        <f>муниц!P8+'Лен '!P9+Высокор!P9+Гост!P9+Новотр!P9+Черн!P9</f>
        <v>28.4</v>
      </c>
      <c r="Q9" s="100">
        <f>муниц!Q8+'Лен '!Q9+Высокор!Q9+Гост!Q9+Новотр!Q9+Черн!Q9</f>
        <v>28.4</v>
      </c>
      <c r="R9" s="100">
        <f>муниц!R8+'Лен '!R9+Высокор!R9+Гост!R9+Новотр!R9+Черн!R9</f>
        <v>28.4</v>
      </c>
    </row>
    <row r="10" spans="1:18" ht="18" customHeight="1">
      <c r="A10" s="11" t="s">
        <v>48</v>
      </c>
      <c r="B10" s="19">
        <v>1030200001</v>
      </c>
      <c r="C10" s="105">
        <f aca="true" t="shared" si="5" ref="C10:H10">SUM(C11:C14)</f>
        <v>9625.49</v>
      </c>
      <c r="D10" s="105">
        <f t="shared" si="5"/>
        <v>0</v>
      </c>
      <c r="E10" s="105">
        <f t="shared" si="5"/>
        <v>9625.49</v>
      </c>
      <c r="F10" s="105">
        <f t="shared" si="5"/>
        <v>0</v>
      </c>
      <c r="G10" s="105">
        <f t="shared" si="5"/>
        <v>1965.7999999999997</v>
      </c>
      <c r="H10" s="105">
        <f t="shared" si="5"/>
        <v>2831.9</v>
      </c>
      <c r="I10" s="99">
        <f t="shared" si="1"/>
        <v>0.2942083987412589</v>
      </c>
      <c r="J10" s="99">
        <f t="shared" si="2"/>
        <v>0</v>
      </c>
      <c r="K10" s="105">
        <f>SUM(K11:K14)</f>
        <v>2244.6000000000004</v>
      </c>
      <c r="L10" s="99">
        <f t="shared" si="3"/>
        <v>1.2616501826606075</v>
      </c>
      <c r="M10" s="105">
        <f>SUM(M11:M14)</f>
        <v>866.0999999999999</v>
      </c>
      <c r="N10" s="105">
        <f>SUM(N11:N14)</f>
        <v>1196.1</v>
      </c>
      <c r="O10" s="99">
        <f t="shared" si="4"/>
        <v>0.7241033358414848</v>
      </c>
      <c r="P10" s="105">
        <f>SUM(P11:P14)</f>
        <v>0</v>
      </c>
      <c r="Q10" s="105">
        <f>SUM(Q11:Q14)</f>
        <v>0</v>
      </c>
      <c r="R10" s="105">
        <f>SUM(R11:R14)</f>
        <v>0</v>
      </c>
    </row>
    <row r="11" spans="1:18" ht="18">
      <c r="A11" s="12" t="s">
        <v>49</v>
      </c>
      <c r="B11" s="12">
        <v>1030223101</v>
      </c>
      <c r="C11" s="100">
        <f>муниц!C10+'Лен '!C11+Высокор!C11+Гост!C11+Новотр!C11+Черн!C11</f>
        <v>3582.0200000000004</v>
      </c>
      <c r="D11" s="100">
        <f>муниц!D10+'Лен '!D11+Высокор!D11+Гост!D11+Новотр!D11+Черн!D11</f>
        <v>0</v>
      </c>
      <c r="E11" s="104">
        <f>C11+D11</f>
        <v>3582.0200000000004</v>
      </c>
      <c r="F11" s="100">
        <f>муниц!F10+'Лен '!F11+Высокор!F11+Гост!F11+Новотр!F11+Черн!F11</f>
        <v>0</v>
      </c>
      <c r="G11" s="100">
        <f>муниц!G10+'Лен '!G11+Высокор!G11+Гост!G11+Новотр!G11+Черн!G11</f>
        <v>870.8</v>
      </c>
      <c r="H11" s="102">
        <f>G11+M11</f>
        <v>1244</v>
      </c>
      <c r="I11" s="103">
        <f t="shared" si="1"/>
        <v>0.3472900765489863</v>
      </c>
      <c r="J11" s="103">
        <f t="shared" si="2"/>
        <v>0</v>
      </c>
      <c r="K11" s="100">
        <f>муниц!K10+'Лен '!K11+Высокор!K11+Гост!K11+Новотр!K11+Черн!K11</f>
        <v>924.7</v>
      </c>
      <c r="L11" s="103">
        <f t="shared" si="3"/>
        <v>1.345301178760679</v>
      </c>
      <c r="M11" s="100">
        <f>муниц!M10+'Лен '!M11+Высокор!M11+Гост!M11+Новотр!M11+Черн!M11</f>
        <v>373.2</v>
      </c>
      <c r="N11" s="100">
        <f>муниц!N10+'Лен '!N11+Высокор!N11+Гост!N11+Новотр!N11+Черн!N11</f>
        <v>485.4</v>
      </c>
      <c r="O11" s="103">
        <f t="shared" si="4"/>
        <v>0.7688504326328801</v>
      </c>
      <c r="P11" s="100">
        <f>муниц!P10+'Лен '!P11+Высокор!P11+Гост!P11+Новотр!P11+Черн!P11</f>
        <v>0</v>
      </c>
      <c r="Q11" s="100">
        <f>муниц!Q10+'Лен '!Q11+Высокор!Q11+Гост!Q11+Новотр!Q11+Черн!Q11</f>
        <v>0</v>
      </c>
      <c r="R11" s="100">
        <f>муниц!R10+'Лен '!R11+Высокор!R11+Гост!R11+Новотр!R11+Черн!R11</f>
        <v>0</v>
      </c>
    </row>
    <row r="12" spans="1:18" ht="18">
      <c r="A12" s="12" t="s">
        <v>50</v>
      </c>
      <c r="B12" s="12">
        <v>1030224101</v>
      </c>
      <c r="C12" s="100">
        <f>муниц!C11+'Лен '!C12+Высокор!C12+Гост!C12+Новотр!C12+Черн!C12</f>
        <v>17.18</v>
      </c>
      <c r="D12" s="100">
        <f>муниц!D11+'Лен '!D12+Высокор!D12+Гост!D12+Новотр!D12+Черн!D12</f>
        <v>0</v>
      </c>
      <c r="E12" s="104">
        <f>C12+D12</f>
        <v>17.18</v>
      </c>
      <c r="F12" s="100">
        <f>муниц!F11+'Лен '!F12+Высокор!F12+Гост!F12+Новотр!F12+Черн!F12</f>
        <v>0</v>
      </c>
      <c r="G12" s="100">
        <f>муниц!G11+'Лен '!G12+Высокор!G12+Гост!G12+Новотр!G12+Черн!G12</f>
        <v>5.8</v>
      </c>
      <c r="H12" s="102">
        <f>G12+M12</f>
        <v>8.6</v>
      </c>
      <c r="I12" s="103">
        <f t="shared" si="1"/>
        <v>0.5005820721769499</v>
      </c>
      <c r="J12" s="103">
        <f t="shared" si="2"/>
        <v>0</v>
      </c>
      <c r="K12" s="100">
        <f>муниц!K11+'Лен '!K12+Высокор!K12+Гост!K12+Новотр!K12+Черн!K12</f>
        <v>6.2</v>
      </c>
      <c r="L12" s="103">
        <f t="shared" si="3"/>
        <v>1.3870967741935483</v>
      </c>
      <c r="M12" s="100">
        <f>муниц!M11+'Лен '!M12+Высокор!M12+Гост!M12+Новотр!M12+Черн!M12</f>
        <v>2.8000000000000003</v>
      </c>
      <c r="N12" s="100">
        <f>муниц!N11+'Лен '!N12+Высокор!N12+Гост!N12+Новотр!N12+Черн!N12</f>
        <v>4.1000000000000005</v>
      </c>
      <c r="O12" s="103">
        <f t="shared" si="4"/>
        <v>0.6829268292682926</v>
      </c>
      <c r="P12" s="100">
        <f>муниц!P11+'Лен '!P12+Высокор!P12+Гост!P12+Новотр!P12+Черн!P12</f>
        <v>0</v>
      </c>
      <c r="Q12" s="100">
        <f>муниц!Q11+'Лен '!Q12+Высокор!Q12+Гост!Q12+Новотр!Q12+Черн!Q12</f>
        <v>0</v>
      </c>
      <c r="R12" s="100">
        <f>муниц!R11+'Лен '!R12+Высокор!R12+Гост!R12+Новотр!R12+Черн!R12</f>
        <v>0</v>
      </c>
    </row>
    <row r="13" spans="1:18" ht="18" customHeight="1">
      <c r="A13" s="12" t="s">
        <v>51</v>
      </c>
      <c r="B13" s="12">
        <v>1030225101</v>
      </c>
      <c r="C13" s="100">
        <f>муниц!C12+'Лен '!C13+Высокор!C13+Гост!C13+Новотр!C13+Черн!C13</f>
        <v>6513.8</v>
      </c>
      <c r="D13" s="100">
        <f>муниц!D12+'Лен '!D13+Высокор!D13+Гост!D13+Новотр!D13+Черн!D13</f>
        <v>0</v>
      </c>
      <c r="E13" s="104">
        <f>C13+D13</f>
        <v>6513.8</v>
      </c>
      <c r="F13" s="100">
        <f>муниц!F12+'Лен '!F13+Высокор!F13+Гост!F13+Новотр!F13+Черн!F13</f>
        <v>0</v>
      </c>
      <c r="G13" s="100">
        <f>муниц!G12+'Лен '!G13+Высокор!G13+Гост!G13+Новотр!G13+Черн!G13</f>
        <v>1278.8</v>
      </c>
      <c r="H13" s="102">
        <f>G13+M13</f>
        <v>1824</v>
      </c>
      <c r="I13" s="103">
        <f t="shared" si="1"/>
        <v>0.2800208787497313</v>
      </c>
      <c r="J13" s="103">
        <f t="shared" si="2"/>
        <v>0</v>
      </c>
      <c r="K13" s="100">
        <f>муниц!K12+'Лен '!K13+Высокор!K13+Гост!K13+Новотр!K13+Черн!K13</f>
        <v>1506.2</v>
      </c>
      <c r="L13" s="103">
        <f t="shared" si="3"/>
        <v>1.2109945558358783</v>
      </c>
      <c r="M13" s="100">
        <f>муниц!M12+'Лен '!M13+Высокор!M13+Гост!M13+Новотр!M13+Черн!M13</f>
        <v>545.1999999999999</v>
      </c>
      <c r="N13" s="100">
        <f>муниц!N12+'Лен '!N13+Высокор!N13+Гост!N13+Новотр!N13+Черн!N13</f>
        <v>789.5</v>
      </c>
      <c r="O13" s="103">
        <f t="shared" si="4"/>
        <v>0.690563647878404</v>
      </c>
      <c r="P13" s="100">
        <f>муниц!P12+'Лен '!P13+Высокор!P13+Гост!P13+Новотр!P13+Черн!P13</f>
        <v>0</v>
      </c>
      <c r="Q13" s="100">
        <f>муниц!Q12+'Лен '!Q13+Высокор!Q13+Гост!Q13+Новотр!Q13+Черн!Q13</f>
        <v>0</v>
      </c>
      <c r="R13" s="100">
        <f>муниц!R12+'Лен '!R13+Высокор!R13+Гост!R13+Новотр!R13+Черн!R13</f>
        <v>0</v>
      </c>
    </row>
    <row r="14" spans="1:18" ht="18">
      <c r="A14" s="12" t="s">
        <v>52</v>
      </c>
      <c r="B14" s="12">
        <v>1030226101</v>
      </c>
      <c r="C14" s="100">
        <f>муниц!C13+'Лен '!C14+Высокор!C14+Гост!C14+Новотр!C14+Черн!C14</f>
        <v>-487.51000000000005</v>
      </c>
      <c r="D14" s="100">
        <f>муниц!D13+'Лен '!D14+Высокор!D14+Гост!D14+Новотр!D14+Черн!D14</f>
        <v>0</v>
      </c>
      <c r="E14" s="104">
        <f>C14+D14</f>
        <v>-487.51000000000005</v>
      </c>
      <c r="F14" s="100">
        <f>муниц!F13+'Лен '!F14+Высокор!F14+Гост!F14+Новотр!F14+Черн!F14</f>
        <v>0</v>
      </c>
      <c r="G14" s="100">
        <f>муниц!G13+'Лен '!G14+Высокор!G14+Гост!G14+Новотр!G14+Черн!G14</f>
        <v>-189.6</v>
      </c>
      <c r="H14" s="102">
        <f>G14+M14</f>
        <v>-244.7</v>
      </c>
      <c r="I14" s="103">
        <f>H14/E14</f>
        <v>0.5019384217759635</v>
      </c>
      <c r="J14" s="103">
        <f t="shared" si="2"/>
        <v>0</v>
      </c>
      <c r="K14" s="100">
        <f>муниц!K13+'Лен '!K14+Высокор!K14+Гост!K14+Новотр!K14+Черн!K14</f>
        <v>-192.50000000000003</v>
      </c>
      <c r="L14" s="103">
        <f t="shared" si="3"/>
        <v>0</v>
      </c>
      <c r="M14" s="100">
        <f>муниц!M13+'Лен '!M14+Высокор!M14+Гост!M14+Новотр!M14+Черн!M14</f>
        <v>-55.099999999999994</v>
      </c>
      <c r="N14" s="100">
        <f>муниц!N13+'Лен '!N14+Высокор!N14+Гост!N14+Новотр!N14+Черн!N14</f>
        <v>-82.9</v>
      </c>
      <c r="O14" s="103">
        <f t="shared" si="4"/>
        <v>0</v>
      </c>
      <c r="P14" s="100">
        <f>муниц!P13+'Лен '!P14+Высокор!P14+Гост!P14+Новотр!P14+Черн!P14</f>
        <v>0</v>
      </c>
      <c r="Q14" s="100">
        <f>муниц!Q13+'Лен '!Q14+Высокор!Q14+Гост!Q14+Новотр!Q14+Черн!Q14</f>
        <v>0</v>
      </c>
      <c r="R14" s="100">
        <f>муниц!R13+'Лен '!R14+Высокор!R14+Гост!R14+Новотр!R14+Черн!R14</f>
        <v>0</v>
      </c>
    </row>
    <row r="15" spans="1:18" ht="18">
      <c r="A15" s="9" t="s">
        <v>82</v>
      </c>
      <c r="B15" s="18">
        <v>1050000000</v>
      </c>
      <c r="C15" s="98">
        <f aca="true" t="shared" si="6" ref="C15:H15">C16+C17+C18+C19+C20</f>
        <v>32862.5</v>
      </c>
      <c r="D15" s="98">
        <f t="shared" si="6"/>
        <v>0</v>
      </c>
      <c r="E15" s="98">
        <f t="shared" si="6"/>
        <v>32862.5</v>
      </c>
      <c r="F15" s="98">
        <f t="shared" si="6"/>
        <v>11352.9</v>
      </c>
      <c r="G15" s="98">
        <f t="shared" si="6"/>
        <v>3439</v>
      </c>
      <c r="H15" s="98">
        <f t="shared" si="6"/>
        <v>7246.100000000001</v>
      </c>
      <c r="I15" s="99">
        <f t="shared" si="1"/>
        <v>0.22049752757702554</v>
      </c>
      <c r="J15" s="99">
        <f t="shared" si="2"/>
        <v>0.6382598278853863</v>
      </c>
      <c r="K15" s="98">
        <f>K16+K17+K18+K19+K20</f>
        <v>5552.2</v>
      </c>
      <c r="L15" s="99">
        <f t="shared" si="3"/>
        <v>1.3050862721083538</v>
      </c>
      <c r="M15" s="98">
        <f>M16+M17+M18+M19+M20</f>
        <v>3807.1000000000004</v>
      </c>
      <c r="N15" s="98">
        <f>N16+N17+N18+N19+N20</f>
        <v>3170.3</v>
      </c>
      <c r="O15" s="99">
        <f t="shared" si="4"/>
        <v>1.2008642715200455</v>
      </c>
      <c r="P15" s="98">
        <f>P16+P17+P18+P19+P20</f>
        <v>592.3</v>
      </c>
      <c r="Q15" s="98">
        <f>Q16+Q17+Q18+Q19+Q20</f>
        <v>2114.3</v>
      </c>
      <c r="R15" s="98">
        <f>R16+R17+R18+R19+R20</f>
        <v>1077.4</v>
      </c>
    </row>
    <row r="16" spans="1:18" ht="18">
      <c r="A16" s="10" t="s">
        <v>53</v>
      </c>
      <c r="B16" s="28">
        <v>1050101001</v>
      </c>
      <c r="C16" s="100">
        <f>муниц!C15</f>
        <v>21681.2</v>
      </c>
      <c r="D16" s="100">
        <f>муниц!D15</f>
        <v>0</v>
      </c>
      <c r="E16" s="104">
        <f>C16+D16</f>
        <v>21681.2</v>
      </c>
      <c r="F16" s="100">
        <f>муниц!F15</f>
        <v>7051</v>
      </c>
      <c r="G16" s="100">
        <f>муниц!G15</f>
        <v>2152.8</v>
      </c>
      <c r="H16" s="102">
        <f>G16+M16</f>
        <v>5052.200000000001</v>
      </c>
      <c r="I16" s="103">
        <f t="shared" si="1"/>
        <v>0.2330221574451599</v>
      </c>
      <c r="J16" s="103">
        <f t="shared" si="2"/>
        <v>0.7165224790809815</v>
      </c>
      <c r="K16" s="100">
        <f>муниц!K15</f>
        <v>4007.9</v>
      </c>
      <c r="L16" s="103">
        <f t="shared" si="3"/>
        <v>1.260560393223384</v>
      </c>
      <c r="M16" s="100">
        <f>муниц!M15</f>
        <v>2899.4</v>
      </c>
      <c r="N16" s="100">
        <f>муниц!N15</f>
        <v>2709.8</v>
      </c>
      <c r="O16" s="103">
        <f t="shared" si="4"/>
        <v>1.069968263340468</v>
      </c>
      <c r="P16" s="100">
        <f>муниц!P15</f>
        <v>547.4</v>
      </c>
      <c r="Q16" s="100">
        <f>муниц!Q15</f>
        <v>408.1</v>
      </c>
      <c r="R16" s="100">
        <f>муниц!R15</f>
        <v>647.4</v>
      </c>
    </row>
    <row r="17" spans="1:18" ht="18">
      <c r="A17" s="10" t="s">
        <v>54</v>
      </c>
      <c r="B17" s="28">
        <v>1050102001</v>
      </c>
      <c r="C17" s="100">
        <f>муниц!C16</f>
        <v>5561.3</v>
      </c>
      <c r="D17" s="100">
        <f>муниц!D16</f>
        <v>0</v>
      </c>
      <c r="E17" s="104">
        <f>C17+D17</f>
        <v>5561.3</v>
      </c>
      <c r="F17" s="100">
        <f>муниц!F16</f>
        <v>1509</v>
      </c>
      <c r="G17" s="100">
        <f>муниц!G16</f>
        <v>3.2</v>
      </c>
      <c r="H17" s="102">
        <f>G17+M17</f>
        <v>696.6</v>
      </c>
      <c r="I17" s="103">
        <f t="shared" si="1"/>
        <v>0.12525848272885837</v>
      </c>
      <c r="J17" s="103">
        <f t="shared" si="2"/>
        <v>0.4616302186878728</v>
      </c>
      <c r="K17" s="100">
        <f>муниц!K16</f>
        <v>149.8</v>
      </c>
      <c r="L17" s="103">
        <f t="shared" si="3"/>
        <v>4.650200267022696</v>
      </c>
      <c r="M17" s="100">
        <f>муниц!M16</f>
        <v>693.4</v>
      </c>
      <c r="N17" s="100">
        <f>муниц!N16</f>
        <v>332.4</v>
      </c>
      <c r="O17" s="103">
        <f t="shared" si="4"/>
        <v>2.0860409145607703</v>
      </c>
      <c r="P17" s="100">
        <f>муниц!P16</f>
        <v>1.4</v>
      </c>
      <c r="Q17" s="100">
        <f>муниц!Q16</f>
        <v>1646.8</v>
      </c>
      <c r="R17" s="100">
        <f>муниц!R16</f>
        <v>386.5</v>
      </c>
    </row>
    <row r="18" spans="1:18" ht="18">
      <c r="A18" s="13" t="s">
        <v>0</v>
      </c>
      <c r="B18" s="28">
        <v>1050200001</v>
      </c>
      <c r="C18" s="100">
        <f>муниц!C17</f>
        <v>5200</v>
      </c>
      <c r="D18" s="100">
        <f>муниц!D17</f>
        <v>0</v>
      </c>
      <c r="E18" s="104">
        <f>C18+D18</f>
        <v>5200</v>
      </c>
      <c r="F18" s="100">
        <f>муниц!F17</f>
        <v>2641</v>
      </c>
      <c r="G18" s="100">
        <f>муниц!G17</f>
        <v>1176.7</v>
      </c>
      <c r="H18" s="102">
        <f>G18+M18</f>
        <v>1198.3</v>
      </c>
      <c r="I18" s="103">
        <f t="shared" si="1"/>
        <v>0.2304423076923077</v>
      </c>
      <c r="J18" s="103">
        <f t="shared" si="2"/>
        <v>0.45372964786065884</v>
      </c>
      <c r="K18" s="100">
        <f>муниц!K17</f>
        <v>1171.5</v>
      </c>
      <c r="L18" s="103">
        <f t="shared" si="3"/>
        <v>1.0228766538625693</v>
      </c>
      <c r="M18" s="100">
        <f>муниц!M17</f>
        <v>21.6</v>
      </c>
      <c r="N18" s="100">
        <f>муниц!N17</f>
        <v>17.2</v>
      </c>
      <c r="O18" s="103">
        <f t="shared" si="4"/>
        <v>1.2558139534883723</v>
      </c>
      <c r="P18" s="100">
        <f>муниц!P17</f>
        <v>43.5</v>
      </c>
      <c r="Q18" s="100">
        <f>муниц!Q17</f>
        <v>53.8</v>
      </c>
      <c r="R18" s="100">
        <f>муниц!R17</f>
        <v>43.5</v>
      </c>
    </row>
    <row r="19" spans="1:18" ht="18">
      <c r="A19" s="13" t="s">
        <v>7</v>
      </c>
      <c r="B19" s="28">
        <v>1050300001</v>
      </c>
      <c r="C19" s="100">
        <f>муниц!C18+'Лен '!C16+Высокор!C16+Гост!C16+Новотр!C16+Черн!C16</f>
        <v>120</v>
      </c>
      <c r="D19" s="100">
        <f>муниц!D18+'Лен '!D16+Высокор!D16+Гост!D16+Новотр!D16+Черн!D16</f>
        <v>0</v>
      </c>
      <c r="E19" s="104">
        <f>C19+D19</f>
        <v>120</v>
      </c>
      <c r="F19" s="100">
        <f>муниц!F18+'Лен '!F16+Высокор!F16+Гост!F16+Новотр!F16+Черн!F16</f>
        <v>63</v>
      </c>
      <c r="G19" s="100">
        <f>муниц!G18+'Лен '!G16+Высокор!G16+Гост!G16+Новотр!G16+Черн!G16</f>
        <v>19.4</v>
      </c>
      <c r="H19" s="102">
        <f>G19+M19</f>
        <v>133.2</v>
      </c>
      <c r="I19" s="103">
        <f t="shared" si="1"/>
        <v>1.1099999999999999</v>
      </c>
      <c r="J19" s="103">
        <f t="shared" si="2"/>
        <v>2.1142857142857143</v>
      </c>
      <c r="K19" s="100">
        <f>муниц!K18+'Лен '!K16+Высокор!K16+Гост!K16+Новотр!K16+Черн!K16</f>
        <v>58.8</v>
      </c>
      <c r="L19" s="103">
        <f t="shared" si="3"/>
        <v>2.2653061224489797</v>
      </c>
      <c r="M19" s="100">
        <f>муниц!M18+'Лен '!M16+Высокор!M16+Гост!M16+Новотр!M16+Черн!M16</f>
        <v>113.8</v>
      </c>
      <c r="N19" s="100">
        <f>муниц!N18+'Лен '!N16+Высокор!N16+Гост!N16+Новотр!N16+Черн!N16</f>
        <v>27</v>
      </c>
      <c r="O19" s="103">
        <f t="shared" si="4"/>
        <v>4.214814814814814</v>
      </c>
      <c r="P19" s="100">
        <f>муниц!P18+'Лен '!P16+Высокор!P16+Гост!P16+Новотр!P16+Черн!P16</f>
        <v>0</v>
      </c>
      <c r="Q19" s="100">
        <f>муниц!Q18+'Лен '!Q16+Высокор!Q16+Гост!Q16+Новотр!Q16+Черн!Q16</f>
        <v>0</v>
      </c>
      <c r="R19" s="100">
        <f>муниц!R18+'Лен '!R16+Высокор!R16+Гост!R16+Новотр!R16+Черн!R16</f>
        <v>0</v>
      </c>
    </row>
    <row r="20" spans="1:18" ht="18">
      <c r="A20" s="10" t="s">
        <v>96</v>
      </c>
      <c r="B20" s="28">
        <v>1050402002</v>
      </c>
      <c r="C20" s="100">
        <f>муниц!C19</f>
        <v>300</v>
      </c>
      <c r="D20" s="100">
        <f>муниц!D19</f>
        <v>0</v>
      </c>
      <c r="E20" s="104">
        <f>C20+D20</f>
        <v>300</v>
      </c>
      <c r="F20" s="100">
        <f>муниц!F19</f>
        <v>88.9</v>
      </c>
      <c r="G20" s="100">
        <f>муниц!G19</f>
        <v>86.9</v>
      </c>
      <c r="H20" s="102">
        <f>G20+M20</f>
        <v>165.8</v>
      </c>
      <c r="I20" s="103">
        <f t="shared" si="1"/>
        <v>0.5526666666666668</v>
      </c>
      <c r="J20" s="103">
        <f t="shared" si="2"/>
        <v>1.8650168728908887</v>
      </c>
      <c r="K20" s="100">
        <f>муниц!K19</f>
        <v>164.2</v>
      </c>
      <c r="L20" s="103">
        <f t="shared" si="3"/>
        <v>1.0097442143727164</v>
      </c>
      <c r="M20" s="100">
        <f>муниц!M19</f>
        <v>78.9</v>
      </c>
      <c r="N20" s="100">
        <f>муниц!N19</f>
        <v>83.9</v>
      </c>
      <c r="O20" s="103">
        <f t="shared" si="4"/>
        <v>0.9404052443384983</v>
      </c>
      <c r="P20" s="100">
        <f>муниц!P19</f>
        <v>0</v>
      </c>
      <c r="Q20" s="100">
        <f>муниц!Q19</f>
        <v>5.6</v>
      </c>
      <c r="R20" s="100">
        <f>муниц!R19</f>
        <v>0</v>
      </c>
    </row>
    <row r="21" spans="1:18" ht="18">
      <c r="A21" s="9" t="s">
        <v>80</v>
      </c>
      <c r="B21" s="18">
        <v>1060000000</v>
      </c>
      <c r="C21" s="106">
        <f aca="true" t="shared" si="7" ref="C21:H21">C22+C23+C24</f>
        <v>6750</v>
      </c>
      <c r="D21" s="106">
        <f t="shared" si="7"/>
        <v>75.5</v>
      </c>
      <c r="E21" s="106">
        <f t="shared" si="7"/>
        <v>6825.5</v>
      </c>
      <c r="F21" s="106">
        <f t="shared" si="7"/>
        <v>1983</v>
      </c>
      <c r="G21" s="106">
        <f t="shared" si="7"/>
        <v>260.5</v>
      </c>
      <c r="H21" s="106">
        <f t="shared" si="7"/>
        <v>1491.4</v>
      </c>
      <c r="I21" s="99">
        <f t="shared" si="1"/>
        <v>0.21850413889092377</v>
      </c>
      <c r="J21" s="99">
        <f t="shared" si="2"/>
        <v>0.7520927887039839</v>
      </c>
      <c r="K21" s="106">
        <f>K22+K23+K24</f>
        <v>1073.7</v>
      </c>
      <c r="L21" s="99">
        <f t="shared" si="3"/>
        <v>1.3890285927167738</v>
      </c>
      <c r="M21" s="106">
        <f>M22+M23+M24</f>
        <v>1230.9</v>
      </c>
      <c r="N21" s="106">
        <f>N22+N23+N24</f>
        <v>860.6999999999999</v>
      </c>
      <c r="O21" s="99">
        <f t="shared" si="4"/>
        <v>1.430115022655978</v>
      </c>
      <c r="P21" s="98">
        <f>P22+P23+P24</f>
        <v>1311.7</v>
      </c>
      <c r="Q21" s="106">
        <f>Q22+Q23+Q24</f>
        <v>1319.6</v>
      </c>
      <c r="R21" s="106">
        <f>R22+R23+R24</f>
        <v>1255.4</v>
      </c>
    </row>
    <row r="22" spans="1:18" ht="18">
      <c r="A22" s="13" t="s">
        <v>16</v>
      </c>
      <c r="B22" s="13">
        <v>1060103003</v>
      </c>
      <c r="C22" s="100">
        <f>'Лен '!C21+Высокор!C21+Гост!C21+Новотр!C21+Черн!C21</f>
        <v>887</v>
      </c>
      <c r="D22" s="100">
        <f>'Лен '!D21+Высокор!D21+Гост!D21+Новотр!D21+Черн!D21</f>
        <v>0</v>
      </c>
      <c r="E22" s="104">
        <f>C22+D22</f>
        <v>887</v>
      </c>
      <c r="F22" s="100">
        <f>'Лен '!F21+Высокор!F21+Гост!F21+Новотр!F21+Черн!F21</f>
        <v>0</v>
      </c>
      <c r="G22" s="102">
        <f>'Лен '!G21+Высокор!G21+Гост!G21+Новотр!G21+Черн!G21</f>
        <v>23.1</v>
      </c>
      <c r="H22" s="102">
        <f>G22+M22</f>
        <v>47.900000000000006</v>
      </c>
      <c r="I22" s="103">
        <f>IF(E22&gt;0,H22/E22,0)</f>
        <v>0.0540022547914318</v>
      </c>
      <c r="J22" s="103">
        <f>IF(F22&gt;0,H22/F22,0)</f>
        <v>0</v>
      </c>
      <c r="K22" s="102">
        <f>'Лен '!K21+Высокор!K21+Гост!K21+Новотр!K21+Черн!K21</f>
        <v>18.900000000000002</v>
      </c>
      <c r="L22" s="103">
        <f>IF(K22&gt;0,H22/K22,0)</f>
        <v>2.5343915343915344</v>
      </c>
      <c r="M22" s="102">
        <f>'Лен '!M21+Высокор!M21+Гост!M21+Новотр!M21+Черн!M21</f>
        <v>24.800000000000004</v>
      </c>
      <c r="N22" s="102">
        <f>'Лен '!N21+Высокор!N21+Гост!N21+Новотр!N21+Черн!N21</f>
        <v>6.8999999999999995</v>
      </c>
      <c r="O22" s="103">
        <f>IF(N22&gt;0,M22/N22,0)</f>
        <v>3.5942028985507255</v>
      </c>
      <c r="P22" s="102">
        <f>'Лен '!P21+Высокор!P21+Гост!P21+Новотр!P21+Черн!P21</f>
        <v>334.5</v>
      </c>
      <c r="Q22" s="102">
        <f>'Лен '!Q21+Высокор!Q21+Гост!Q21+Новотр!Q21+Черн!Q21</f>
        <v>312.4</v>
      </c>
      <c r="R22" s="102">
        <f>'Лен '!R21+Высокор!R21+Гост!R21+Новотр!R21+Черн!R21</f>
        <v>302.5</v>
      </c>
    </row>
    <row r="23" spans="1:18" ht="18">
      <c r="A23" s="13" t="s">
        <v>19</v>
      </c>
      <c r="B23" s="13">
        <v>1060201002</v>
      </c>
      <c r="C23" s="100">
        <f>муниц!C20</f>
        <v>4582</v>
      </c>
      <c r="D23" s="100">
        <f>муниц!D20</f>
        <v>0</v>
      </c>
      <c r="E23" s="104">
        <f>C23+D23</f>
        <v>4582</v>
      </c>
      <c r="F23" s="100">
        <f>муниц!F20</f>
        <v>1983</v>
      </c>
      <c r="G23" s="100">
        <f>муниц!G20</f>
        <v>5.7</v>
      </c>
      <c r="H23" s="102">
        <f>G23+M23</f>
        <v>1144.1000000000001</v>
      </c>
      <c r="I23" s="103">
        <f t="shared" si="1"/>
        <v>0.2496944565691838</v>
      </c>
      <c r="J23" s="103">
        <f t="shared" si="2"/>
        <v>0.5769541099344428</v>
      </c>
      <c r="K23" s="100">
        <f>муниц!K20</f>
        <v>835.1</v>
      </c>
      <c r="L23" s="103">
        <f t="shared" si="3"/>
        <v>1.3700155669979643</v>
      </c>
      <c r="M23" s="100">
        <f>муниц!M20</f>
        <v>1138.4</v>
      </c>
      <c r="N23" s="100">
        <f>муниц!N20</f>
        <v>832</v>
      </c>
      <c r="O23" s="103">
        <f t="shared" si="4"/>
        <v>1.3682692307692308</v>
      </c>
      <c r="P23" s="100">
        <f>муниц!P20</f>
        <v>173.7</v>
      </c>
      <c r="Q23" s="100">
        <f>муниц!Q20</f>
        <v>171.4</v>
      </c>
      <c r="R23" s="100">
        <f>муниц!R20</f>
        <v>171.5</v>
      </c>
    </row>
    <row r="24" spans="1:18" ht="18">
      <c r="A24" s="13" t="s">
        <v>15</v>
      </c>
      <c r="B24" s="13">
        <v>1060600000</v>
      </c>
      <c r="C24" s="100">
        <f>'Лен '!C18+Высокор!C18+Гост!C18+Новотр!C18+Черн!C18</f>
        <v>1281</v>
      </c>
      <c r="D24" s="100">
        <f>'Лен '!D18+Высокор!D18+Гост!D18+Новотр!D18+Черн!D18</f>
        <v>75.5</v>
      </c>
      <c r="E24" s="101">
        <f>C24+D24</f>
        <v>1356.5</v>
      </c>
      <c r="F24" s="100">
        <f>'Лен '!F18+Высокор!F18+Гост!F18+Новотр!F18+Черн!F18</f>
        <v>0</v>
      </c>
      <c r="G24" s="102">
        <f>'Лен '!G18+Высокор!G18+Гост!G18+Новотр!G18+Черн!G18</f>
        <v>231.7</v>
      </c>
      <c r="H24" s="102">
        <f>G24+M24</f>
        <v>299.4</v>
      </c>
      <c r="I24" s="103">
        <f t="shared" si="1"/>
        <v>0.22071507556210834</v>
      </c>
      <c r="J24" s="103">
        <f t="shared" si="2"/>
        <v>0</v>
      </c>
      <c r="K24" s="102">
        <f>'Лен '!K18+Высокор!K18+Гост!K18+Новотр!K18+Черн!K18</f>
        <v>219.7</v>
      </c>
      <c r="L24" s="103">
        <f t="shared" si="3"/>
        <v>1.3627674101046883</v>
      </c>
      <c r="M24" s="102">
        <f>'Лен '!M18+Высокор!M18+Гост!M18+Новотр!M18+Черн!M18</f>
        <v>67.7</v>
      </c>
      <c r="N24" s="102">
        <f>'Лен '!N18+Высокор!N18+Гост!N18+Новотр!N18+Черн!N18</f>
        <v>21.8</v>
      </c>
      <c r="O24" s="103">
        <f t="shared" si="4"/>
        <v>3.1055045871559632</v>
      </c>
      <c r="P24" s="102">
        <f>'Лен '!P18+Высокор!P18+Гост!P18+Новотр!P18+Черн!P18</f>
        <v>803.5000000000001</v>
      </c>
      <c r="Q24" s="102">
        <f>'Лен '!Q18+Высокор!Q18+Гост!Q18+Новотр!Q18+Черн!Q18</f>
        <v>835.7999999999998</v>
      </c>
      <c r="R24" s="102">
        <f>'Лен '!R18+Высокор!R18+Гост!R18+Новотр!R18+Черн!R18</f>
        <v>781.4</v>
      </c>
    </row>
    <row r="25" spans="1:18" ht="18">
      <c r="A25" s="9" t="s">
        <v>83</v>
      </c>
      <c r="B25" s="18">
        <v>1080000000</v>
      </c>
      <c r="C25" s="105">
        <f>муниц!C21+Высокор!C22+Гост!C22+Новотр!C22+Черн!C22</f>
        <v>411</v>
      </c>
      <c r="D25" s="105">
        <f>муниц!D21+Высокор!D22+Гост!D22+Новотр!D22+Черн!D22</f>
        <v>0</v>
      </c>
      <c r="E25" s="107">
        <f>C25+D25</f>
        <v>411</v>
      </c>
      <c r="F25" s="105">
        <f>муниц!F21+Высокор!F22+Гост!F22+Новотр!F22+Черн!F22</f>
        <v>289</v>
      </c>
      <c r="G25" s="105">
        <f>муниц!G21+Высокор!G22+Гост!G22+Новотр!G22+Черн!G22</f>
        <v>83.50000000000001</v>
      </c>
      <c r="H25" s="98">
        <f>G25+M25</f>
        <v>142.3</v>
      </c>
      <c r="I25" s="99">
        <f t="shared" si="1"/>
        <v>0.34622871046228715</v>
      </c>
      <c r="J25" s="99">
        <f t="shared" si="2"/>
        <v>0.4923875432525952</v>
      </c>
      <c r="K25" s="105">
        <f>муниц!K21+Высокор!K22+Гост!K22+Новотр!K22+Черн!K22</f>
        <v>103.3</v>
      </c>
      <c r="L25" s="99">
        <f t="shared" si="3"/>
        <v>1.3775411423039692</v>
      </c>
      <c r="M25" s="105">
        <f>муниц!M21+Высокор!M22+Гост!M22+Новотр!M22+Черн!M22</f>
        <v>58.8</v>
      </c>
      <c r="N25" s="105">
        <f>муниц!N21+Высокор!N22+Гост!N22+Новотр!N22+Черн!N22</f>
        <v>32.7</v>
      </c>
      <c r="O25" s="99">
        <f t="shared" si="4"/>
        <v>1.7981651376146786</v>
      </c>
      <c r="P25" s="108"/>
      <c r="Q25" s="108"/>
      <c r="R25" s="108"/>
    </row>
    <row r="26" spans="1:18" ht="18" hidden="1">
      <c r="A26" s="9" t="s">
        <v>84</v>
      </c>
      <c r="B26" s="18">
        <v>1090000000</v>
      </c>
      <c r="C26" s="105">
        <f>муниц!C22+'Лен '!C22+Высокор!C23+Гост!C23+Новотр!C23+Черн!C23</f>
        <v>0</v>
      </c>
      <c r="D26" s="105">
        <f>муниц!D22+'Лен '!D22+Высокор!D23+Гост!D23+Новотр!D23+Черн!D23</f>
        <v>0</v>
      </c>
      <c r="E26" s="107">
        <f>C26+D26</f>
        <v>0</v>
      </c>
      <c r="F26" s="105">
        <f>муниц!F22+'Лен '!F22+Высокор!F23+Гост!F23+Новотр!F23+Черн!F23</f>
        <v>0</v>
      </c>
      <c r="G26" s="105">
        <f>муниц!G22+'Лен '!G22+Высокор!G23+Гост!G23+Новотр!G23+Черн!G23</f>
        <v>0</v>
      </c>
      <c r="H26" s="98">
        <f>G26+M26</f>
        <v>0</v>
      </c>
      <c r="I26" s="99">
        <f t="shared" si="1"/>
        <v>0</v>
      </c>
      <c r="J26" s="99">
        <f t="shared" si="2"/>
        <v>0</v>
      </c>
      <c r="K26" s="105">
        <f>муниц!K22+'Лен '!K22+Высокор!K23+Гост!K23+Новотр!K23+Черн!K23</f>
        <v>0</v>
      </c>
      <c r="L26" s="99">
        <f t="shared" si="3"/>
        <v>0</v>
      </c>
      <c r="M26" s="105">
        <f>муниц!M22+'Лен '!M22+Высокор!M23+Гост!M23+Новотр!M23+Черн!M23</f>
        <v>0</v>
      </c>
      <c r="N26" s="105">
        <f>муниц!N22+'Лен '!N22+Высокор!N23+Гост!N23+Новотр!N23+Черн!N23</f>
        <v>0</v>
      </c>
      <c r="O26" s="99">
        <f t="shared" si="4"/>
        <v>0</v>
      </c>
      <c r="P26" s="105">
        <f>муниц!P22+'Лен '!P22+Высокор!P23+Гост!P23+Новотр!P23+Черн!P23</f>
        <v>0</v>
      </c>
      <c r="Q26" s="105">
        <f>муниц!Q22+'Лен '!Q22+Высокор!Q23+Гост!Q23+Новотр!Q23+Черн!Q23</f>
        <v>0</v>
      </c>
      <c r="R26" s="105">
        <f>муниц!R22+'Лен '!R22+Высокор!R23+Гост!R23+Новотр!R23+Черн!R23</f>
        <v>0</v>
      </c>
    </row>
    <row r="27" spans="1:18" ht="18">
      <c r="A27" s="14" t="s">
        <v>22</v>
      </c>
      <c r="B27" s="20"/>
      <c r="C27" s="109">
        <f aca="true" t="shared" si="8" ref="C27:H27">C28+C34+C35+C39+C42+C43</f>
        <v>14910.805</v>
      </c>
      <c r="D27" s="110">
        <f t="shared" si="8"/>
        <v>1738.763</v>
      </c>
      <c r="E27" s="110">
        <f t="shared" si="8"/>
        <v>16649.568</v>
      </c>
      <c r="F27" s="110">
        <f t="shared" si="8"/>
        <v>7948.7</v>
      </c>
      <c r="G27" s="110">
        <f t="shared" si="8"/>
        <v>2397.5</v>
      </c>
      <c r="H27" s="110">
        <f t="shared" si="8"/>
        <v>3955.8</v>
      </c>
      <c r="I27" s="97">
        <f t="shared" si="1"/>
        <v>0.23759175012829165</v>
      </c>
      <c r="J27" s="97">
        <f t="shared" si="2"/>
        <v>0.4976662850529018</v>
      </c>
      <c r="K27" s="110">
        <f>K28+K34+K35+K39+K42+K43</f>
        <v>7925.400000000001</v>
      </c>
      <c r="L27" s="97">
        <f t="shared" si="3"/>
        <v>0.49912938148232266</v>
      </c>
      <c r="M27" s="110">
        <f>M28+M34+M35+M39+M42+M43</f>
        <v>1558.3</v>
      </c>
      <c r="N27" s="110">
        <f>N28+N34+N35+N39+N42+N43</f>
        <v>1553.6</v>
      </c>
      <c r="O27" s="97">
        <f t="shared" si="4"/>
        <v>1.0030252317198765</v>
      </c>
      <c r="P27" s="110">
        <f>P28+P34+P35+P39+P42+P43</f>
        <v>502.5</v>
      </c>
      <c r="Q27" s="110">
        <f>Q28+Q34+Q35+Q39+Q42+Q43</f>
        <v>705.6</v>
      </c>
      <c r="R27" s="110">
        <f>R28+R34+R35+R39+R42+R43</f>
        <v>692.3</v>
      </c>
    </row>
    <row r="28" spans="1:18" ht="18">
      <c r="A28" s="9" t="s">
        <v>85</v>
      </c>
      <c r="B28" s="18">
        <v>1110000000</v>
      </c>
      <c r="C28" s="105">
        <f aca="true" t="shared" si="9" ref="C28:H28">SUM(C29:C33)</f>
        <v>3237.504</v>
      </c>
      <c r="D28" s="105">
        <f t="shared" si="9"/>
        <v>1133.868</v>
      </c>
      <c r="E28" s="105">
        <f t="shared" si="9"/>
        <v>4371.371999999999</v>
      </c>
      <c r="F28" s="105">
        <f t="shared" si="9"/>
        <v>2087.3</v>
      </c>
      <c r="G28" s="105">
        <f t="shared" si="9"/>
        <v>346.70000000000005</v>
      </c>
      <c r="H28" s="105">
        <f t="shared" si="9"/>
        <v>654.1</v>
      </c>
      <c r="I28" s="99">
        <f t="shared" si="1"/>
        <v>0.1496326553768474</v>
      </c>
      <c r="J28" s="99">
        <f t="shared" si="2"/>
        <v>0.3133713409667992</v>
      </c>
      <c r="K28" s="105">
        <f>SUM(K29:K33)</f>
        <v>564.6</v>
      </c>
      <c r="L28" s="99">
        <f t="shared" si="3"/>
        <v>1.1585193057031526</v>
      </c>
      <c r="M28" s="105">
        <f>SUM(M29:M33)</f>
        <v>307.40000000000003</v>
      </c>
      <c r="N28" s="105">
        <f>SUM(N29:N33)</f>
        <v>280.8</v>
      </c>
      <c r="O28" s="99">
        <f t="shared" si="4"/>
        <v>1.094729344729345</v>
      </c>
      <c r="P28" s="105">
        <f>SUM(P29:P33)</f>
        <v>502.5</v>
      </c>
      <c r="Q28" s="105">
        <f>SUM(Q29:Q33)</f>
        <v>705.6</v>
      </c>
      <c r="R28" s="105">
        <f>SUM(R29:R33)</f>
        <v>692.3</v>
      </c>
    </row>
    <row r="29" spans="1:18" ht="0.75" customHeight="1">
      <c r="A29" s="13" t="s">
        <v>20</v>
      </c>
      <c r="B29" s="13">
        <v>1110105005</v>
      </c>
      <c r="C29" s="100">
        <f>муниц!C25</f>
        <v>0</v>
      </c>
      <c r="D29" s="100">
        <f>муниц!D25</f>
        <v>0</v>
      </c>
      <c r="E29" s="104">
        <f aca="true" t="shared" si="10" ref="E29:E42">C29+D29</f>
        <v>0</v>
      </c>
      <c r="F29" s="100">
        <f>муниц!F25</f>
        <v>0</v>
      </c>
      <c r="G29" s="100">
        <f>муниц!G25</f>
        <v>0</v>
      </c>
      <c r="H29" s="102">
        <f aca="true" t="shared" si="11" ref="H29:H34">G29+M29</f>
        <v>0</v>
      </c>
      <c r="I29" s="103">
        <f t="shared" si="1"/>
        <v>0</v>
      </c>
      <c r="J29" s="103">
        <f t="shared" si="2"/>
        <v>0</v>
      </c>
      <c r="K29" s="100">
        <f>муниц!K25</f>
        <v>0</v>
      </c>
      <c r="L29" s="103">
        <f t="shared" si="3"/>
        <v>0</v>
      </c>
      <c r="M29" s="100">
        <f>муниц!M25</f>
        <v>0</v>
      </c>
      <c r="N29" s="100">
        <f>муниц!N25</f>
        <v>0</v>
      </c>
      <c r="O29" s="103">
        <f t="shared" si="4"/>
        <v>0</v>
      </c>
      <c r="P29" s="100"/>
      <c r="Q29" s="100"/>
      <c r="R29" s="100"/>
    </row>
    <row r="30" spans="1:18" ht="18">
      <c r="A30" s="13" t="s">
        <v>1</v>
      </c>
      <c r="B30" s="13">
        <v>1110501013</v>
      </c>
      <c r="C30" s="100">
        <f>муниц!C26+муниц!C27+'Лен '!C25+Высокор!C26+Гост!C26+Новотр!C26+Черн!C26+'Лен '!C26</f>
        <v>1902.2</v>
      </c>
      <c r="D30" s="100">
        <f>муниц!D26+муниц!D27+'Лен '!D25+Высокор!D26+Гост!D26+Новотр!D26+Черн!D26+'Лен '!D26</f>
        <v>300</v>
      </c>
      <c r="E30" s="104">
        <f t="shared" si="10"/>
        <v>2202.2</v>
      </c>
      <c r="F30" s="100">
        <f>муниц!F26+муниц!F27+'Лен '!F25+Высокор!F26+Гост!F26+Новотр!F26+Черн!F26</f>
        <v>900</v>
      </c>
      <c r="G30" s="100">
        <f>муниц!G26+муниц!G27+'Лен '!G25+'Лен '!G26+Высокор!G26+Гост!G26+Новотр!G26+Черн!G26</f>
        <v>164.5</v>
      </c>
      <c r="H30" s="102">
        <f t="shared" si="11"/>
        <v>271.7</v>
      </c>
      <c r="I30" s="103">
        <f t="shared" si="1"/>
        <v>0.12337662337662338</v>
      </c>
      <c r="J30" s="103">
        <f t="shared" si="2"/>
        <v>0.3018888888888889</v>
      </c>
      <c r="K30" s="100">
        <f>муниц!K26+муниц!K27+'Лен '!K25+Высокор!K26+Гост!K26+Новотр!K26+Черн!K26+'Лен '!K26</f>
        <v>148.9</v>
      </c>
      <c r="L30" s="103">
        <f t="shared" si="3"/>
        <v>1.824714573539288</v>
      </c>
      <c r="M30" s="100">
        <f>муниц!M26+муниц!M27+'Лен '!M25+Высокор!M26+Гост!M26+Новотр!M26+Черн!M26+'Лен '!M26</f>
        <v>107.2</v>
      </c>
      <c r="N30" s="100">
        <f>муниц!N26+муниц!N27+'Лен '!N25+Высокор!N26+Гост!N26+Новотр!N26+Черн!N26+'Лен '!N26</f>
        <v>42.400000000000006</v>
      </c>
      <c r="O30" s="103">
        <f t="shared" si="4"/>
        <v>2.5283018867924527</v>
      </c>
      <c r="P30" s="100">
        <f>муниц!P26+муниц!P27+'Лен '!P25+Высокор!P26+Гост!P26+Новотр!P26+Черн!P26</f>
        <v>436.5</v>
      </c>
      <c r="Q30" s="100">
        <f>муниц!Q26+муниц!Q27+'Лен '!Q25+Высокор!Q26+Гост!Q26+Новотр!Q26+Черн!Q26</f>
        <v>563.2</v>
      </c>
      <c r="R30" s="100">
        <f>муниц!R26+муниц!R27+'Лен '!R25+Высокор!R26+Гост!R26+Новотр!R26+Черн!R26</f>
        <v>465.9</v>
      </c>
    </row>
    <row r="31" spans="1:18" ht="18">
      <c r="A31" s="13" t="s">
        <v>17</v>
      </c>
      <c r="B31" s="13">
        <v>1110503510</v>
      </c>
      <c r="C31" s="100">
        <f>муниц!C28</f>
        <v>470</v>
      </c>
      <c r="D31" s="100">
        <f>муниц!D28</f>
        <v>0</v>
      </c>
      <c r="E31" s="104">
        <f t="shared" si="10"/>
        <v>470</v>
      </c>
      <c r="F31" s="100">
        <f>муниц!F28</f>
        <v>1187.3</v>
      </c>
      <c r="G31" s="100">
        <f>муниц!G28</f>
        <v>56.6</v>
      </c>
      <c r="H31" s="102">
        <f t="shared" si="11"/>
        <v>153.5</v>
      </c>
      <c r="I31" s="103">
        <f t="shared" si="1"/>
        <v>0.32659574468085106</v>
      </c>
      <c r="J31" s="103">
        <f t="shared" si="2"/>
        <v>0.12928493219910722</v>
      </c>
      <c r="K31" s="100">
        <f>муниц!K28</f>
        <v>208.9</v>
      </c>
      <c r="L31" s="103">
        <f t="shared" si="3"/>
        <v>0.7348013403542365</v>
      </c>
      <c r="M31" s="100">
        <f>муниц!M28</f>
        <v>96.9</v>
      </c>
      <c r="N31" s="100">
        <f>муниц!N28</f>
        <v>163.1</v>
      </c>
      <c r="O31" s="103">
        <f t="shared" si="4"/>
        <v>0.5941140404659718</v>
      </c>
      <c r="P31" s="100">
        <f>муниц!P28+Новотр!P27</f>
        <v>66</v>
      </c>
      <c r="Q31" s="100">
        <f>муниц!Q28</f>
        <v>142.4</v>
      </c>
      <c r="R31" s="100">
        <f>муниц!R28</f>
        <v>226.4</v>
      </c>
    </row>
    <row r="32" spans="1:18" ht="18">
      <c r="A32" s="13" t="s">
        <v>116</v>
      </c>
      <c r="B32" s="13">
        <v>1110507513</v>
      </c>
      <c r="C32" s="100">
        <f>'Лен '!C27</f>
        <v>286.8</v>
      </c>
      <c r="D32" s="100">
        <f>'Лен '!D27</f>
        <v>10.24</v>
      </c>
      <c r="E32" s="104">
        <f t="shared" si="10"/>
        <v>297.04</v>
      </c>
      <c r="F32" s="100">
        <f>'Лен '!F29+Гост!F27</f>
        <v>0</v>
      </c>
      <c r="G32" s="100">
        <f>'Лен '!G27</f>
        <v>45</v>
      </c>
      <c r="H32" s="102">
        <f t="shared" si="11"/>
        <v>69.8</v>
      </c>
      <c r="I32" s="103">
        <f t="shared" si="1"/>
        <v>0.23498518718017772</v>
      </c>
      <c r="J32" s="103">
        <f t="shared" si="2"/>
        <v>0</v>
      </c>
      <c r="K32" s="100">
        <f>'Лен '!K27</f>
        <v>0</v>
      </c>
      <c r="L32" s="103">
        <f t="shared" si="3"/>
        <v>0</v>
      </c>
      <c r="M32" s="100">
        <f>'Лен '!M27</f>
        <v>24.8</v>
      </c>
      <c r="N32" s="100">
        <f>'Лен '!N27</f>
        <v>0</v>
      </c>
      <c r="O32" s="103">
        <f t="shared" si="4"/>
        <v>0</v>
      </c>
      <c r="P32" s="111"/>
      <c r="Q32" s="111"/>
      <c r="R32" s="111"/>
    </row>
    <row r="33" spans="1:18" ht="18">
      <c r="A33" s="13" t="s">
        <v>23</v>
      </c>
      <c r="B33" s="13">
        <v>1110904505</v>
      </c>
      <c r="C33" s="100">
        <f>муниц!C29+'Лен '!C28+Высокор!C27+Гост!C28+Новотр!C27+Черн!C27</f>
        <v>578.504</v>
      </c>
      <c r="D33" s="100">
        <f>муниц!D29+'Лен '!D28+Высокор!D27+Гост!D28+Новотр!D27+Черн!D27</f>
        <v>823.628</v>
      </c>
      <c r="E33" s="104">
        <f t="shared" si="10"/>
        <v>1402.132</v>
      </c>
      <c r="F33" s="100">
        <f>муниц!F29+'Лен '!F28+Высокор!F27+Гост!F28+Новотр!F27+Черн!F27</f>
        <v>0</v>
      </c>
      <c r="G33" s="100">
        <f>муниц!G29+'Лен '!G28+Высокор!G27+Гост!G28+Новотр!G27+Черн!G27</f>
        <v>80.6</v>
      </c>
      <c r="H33" s="102">
        <f t="shared" si="11"/>
        <v>159.1</v>
      </c>
      <c r="I33" s="103">
        <f t="shared" si="1"/>
        <v>0.11347005845384028</v>
      </c>
      <c r="J33" s="103">
        <f t="shared" si="2"/>
        <v>0</v>
      </c>
      <c r="K33" s="100">
        <f>муниц!K29+'Лен '!K28+Высокор!K27+Гост!K28+Новотр!K27+Черн!K27</f>
        <v>206.79999999999998</v>
      </c>
      <c r="L33" s="103">
        <f t="shared" si="3"/>
        <v>0.7693423597678917</v>
      </c>
      <c r="M33" s="100">
        <f>муниц!M29+'Лен '!M28+Высокор!M27+Гост!M28+Новотр!M27+Черн!M27</f>
        <v>78.5</v>
      </c>
      <c r="N33" s="100">
        <f>муниц!N29+'Лен '!N28+Высокор!N27+Гост!N28+Новотр!N27+Черн!N27</f>
        <v>75.30000000000001</v>
      </c>
      <c r="O33" s="103">
        <f t="shared" si="4"/>
        <v>1.042496679946879</v>
      </c>
      <c r="P33" s="111"/>
      <c r="Q33" s="111"/>
      <c r="R33" s="111">
        <f>'Лен '!R28</f>
        <v>0</v>
      </c>
    </row>
    <row r="34" spans="1:18" ht="18">
      <c r="A34" s="9" t="s">
        <v>81</v>
      </c>
      <c r="B34" s="18">
        <v>1120000000</v>
      </c>
      <c r="C34" s="105">
        <f>муниц!C30</f>
        <v>31.3</v>
      </c>
      <c r="D34" s="105">
        <f>муниц!D30</f>
        <v>0</v>
      </c>
      <c r="E34" s="107">
        <f t="shared" si="10"/>
        <v>31.3</v>
      </c>
      <c r="F34" s="105">
        <f>муниц!F30</f>
        <v>75</v>
      </c>
      <c r="G34" s="105">
        <f>муниц!G30</f>
        <v>3.2</v>
      </c>
      <c r="H34" s="98">
        <f t="shared" si="11"/>
        <v>20.8</v>
      </c>
      <c r="I34" s="99">
        <f t="shared" si="1"/>
        <v>0.6645367412140575</v>
      </c>
      <c r="J34" s="99">
        <f t="shared" si="2"/>
        <v>0.2773333333333333</v>
      </c>
      <c r="K34" s="105">
        <f>муниц!K30</f>
        <v>16.5</v>
      </c>
      <c r="L34" s="99">
        <f t="shared" si="3"/>
        <v>1.2606060606060607</v>
      </c>
      <c r="M34" s="105">
        <f>муниц!M30</f>
        <v>17.6</v>
      </c>
      <c r="N34" s="105">
        <f>муниц!N30</f>
        <v>15.3</v>
      </c>
      <c r="O34" s="99">
        <f t="shared" si="4"/>
        <v>1.150326797385621</v>
      </c>
      <c r="P34" s="98"/>
      <c r="Q34" s="108"/>
      <c r="R34" s="108"/>
    </row>
    <row r="35" spans="1:18" ht="18">
      <c r="A35" s="9" t="s">
        <v>66</v>
      </c>
      <c r="B35" s="18">
        <v>1130000000</v>
      </c>
      <c r="C35" s="105">
        <f aca="true" t="shared" si="12" ref="C35:H35">SUM(C36:C38)</f>
        <v>11444.001</v>
      </c>
      <c r="D35" s="105">
        <f t="shared" si="12"/>
        <v>604.895</v>
      </c>
      <c r="E35" s="105">
        <f t="shared" si="12"/>
        <v>12048.896</v>
      </c>
      <c r="F35" s="105">
        <f t="shared" si="12"/>
        <v>5703.4</v>
      </c>
      <c r="G35" s="105">
        <f t="shared" si="12"/>
        <v>1960.3</v>
      </c>
      <c r="H35" s="105">
        <f t="shared" si="12"/>
        <v>3034.7999999999997</v>
      </c>
      <c r="I35" s="99">
        <f t="shared" si="1"/>
        <v>0.251873698635958</v>
      </c>
      <c r="J35" s="99">
        <f t="shared" si="2"/>
        <v>0.5321036574674756</v>
      </c>
      <c r="K35" s="105">
        <f>SUM(K36:K38)</f>
        <v>2912.8</v>
      </c>
      <c r="L35" s="99">
        <f t="shared" si="3"/>
        <v>1.0418840977753363</v>
      </c>
      <c r="M35" s="105">
        <f>SUM(M36:M38)</f>
        <v>1074.5</v>
      </c>
      <c r="N35" s="105">
        <f>SUM(N36:N38)</f>
        <v>1068.8</v>
      </c>
      <c r="O35" s="99">
        <f t="shared" si="4"/>
        <v>1.0053330838323353</v>
      </c>
      <c r="P35" s="105">
        <f>SUM(P36:P38)</f>
        <v>0</v>
      </c>
      <c r="Q35" s="105">
        <f>SUM(Q36:Q38)</f>
        <v>0</v>
      </c>
      <c r="R35" s="105">
        <f>SUM(R36:R38)</f>
        <v>0</v>
      </c>
    </row>
    <row r="36" spans="1:18" ht="18">
      <c r="A36" s="15" t="s">
        <v>34</v>
      </c>
      <c r="B36" s="22">
        <v>1130199500</v>
      </c>
      <c r="C36" s="112">
        <f>муниц!C32</f>
        <v>9113.1</v>
      </c>
      <c r="D36" s="112">
        <f>муниц!D32</f>
        <v>0</v>
      </c>
      <c r="E36" s="104">
        <f t="shared" si="10"/>
        <v>9113.1</v>
      </c>
      <c r="F36" s="112">
        <f>муниц!F32</f>
        <v>5203.4</v>
      </c>
      <c r="G36" s="112">
        <f>муниц!G32</f>
        <v>1491</v>
      </c>
      <c r="H36" s="102">
        <f>G36+M36</f>
        <v>2236.6</v>
      </c>
      <c r="I36" s="103">
        <f>IF(E36&gt;0,H36/E36,0)</f>
        <v>0.24542691290559743</v>
      </c>
      <c r="J36" s="103">
        <f>IF(F36&gt;0,H36/F36,0)</f>
        <v>0.42983433908598223</v>
      </c>
      <c r="K36" s="112">
        <f>муниц!K32</f>
        <v>2235.9</v>
      </c>
      <c r="L36" s="103">
        <f t="shared" si="3"/>
        <v>1.0003130730354666</v>
      </c>
      <c r="M36" s="112">
        <f>муниц!M32</f>
        <v>745.6</v>
      </c>
      <c r="N36" s="112">
        <f>муниц!N32</f>
        <v>744</v>
      </c>
      <c r="O36" s="103">
        <f t="shared" si="4"/>
        <v>1.0021505376344086</v>
      </c>
      <c r="P36" s="113"/>
      <c r="Q36" s="114"/>
      <c r="R36" s="114"/>
    </row>
    <row r="37" spans="1:18" ht="18">
      <c r="A37" s="15" t="s">
        <v>35</v>
      </c>
      <c r="B37" s="22">
        <v>1130206500</v>
      </c>
      <c r="C37" s="112">
        <f>муниц!C33+'Лен '!C31</f>
        <v>550.001</v>
      </c>
      <c r="D37" s="112">
        <f>муниц!D33+'Лен '!D31</f>
        <v>0</v>
      </c>
      <c r="E37" s="104">
        <f t="shared" si="10"/>
        <v>550.001</v>
      </c>
      <c r="F37" s="112">
        <f>муниц!F33</f>
        <v>500</v>
      </c>
      <c r="G37" s="112">
        <f>муниц!G33+'Лен '!G31</f>
        <v>54.9</v>
      </c>
      <c r="H37" s="102">
        <f>G37+M37</f>
        <v>90.6</v>
      </c>
      <c r="I37" s="103">
        <f>IF(E37&gt;0,H37/E37,0)</f>
        <v>0.16472697322368504</v>
      </c>
      <c r="J37" s="103">
        <f>IF(F37&gt;0,H37/F37,0)</f>
        <v>0.1812</v>
      </c>
      <c r="K37" s="112">
        <f>муниц!K33+'Лен '!K31</f>
        <v>134.6</v>
      </c>
      <c r="L37" s="103">
        <f t="shared" si="3"/>
        <v>0.6731054977711738</v>
      </c>
      <c r="M37" s="112">
        <f>муниц!M33+'Лен '!M31</f>
        <v>35.7</v>
      </c>
      <c r="N37" s="112">
        <f>муниц!N33+'Лен '!N31</f>
        <v>75</v>
      </c>
      <c r="O37" s="103">
        <f t="shared" si="4"/>
        <v>0.47600000000000003</v>
      </c>
      <c r="P37" s="113"/>
      <c r="Q37" s="114"/>
      <c r="R37" s="114"/>
    </row>
    <row r="38" spans="1:18" ht="18">
      <c r="A38" s="15" t="s">
        <v>38</v>
      </c>
      <c r="B38" s="22">
        <v>1130299510</v>
      </c>
      <c r="C38" s="112">
        <f>муниц!C34+'Лен '!C32+Высокор!C28+Гост!C29+Новотр!C28+Черн!C28</f>
        <v>1780.9</v>
      </c>
      <c r="D38" s="159">
        <f>муниц!D34+'Лен '!D32+Высокор!D28+Гост!D29+Новотр!D28+Черн!D28</f>
        <v>604.895</v>
      </c>
      <c r="E38" s="104">
        <f t="shared" si="10"/>
        <v>2385.795</v>
      </c>
      <c r="F38" s="112">
        <f>муниц!F34+'Лен '!F32+Высокор!F28+Гост!F29+Новотр!F28+Черн!F28</f>
        <v>0</v>
      </c>
      <c r="G38" s="112">
        <f>муниц!G34+'Лен '!G32+Высокор!G28+Гост!G29+Новотр!G28+Черн!G28</f>
        <v>414.3999999999999</v>
      </c>
      <c r="H38" s="102">
        <f>G38+M38</f>
        <v>707.5999999999999</v>
      </c>
      <c r="I38" s="103">
        <f>IF(E38&gt;0,H38/E38,0)</f>
        <v>0.2965887681045521</v>
      </c>
      <c r="J38" s="103">
        <f>IF(F38&gt;0,H38/F38,0)</f>
        <v>0</v>
      </c>
      <c r="K38" s="112">
        <f>муниц!K34+'Лен '!K32+Высокор!K28+Гост!K29+Новотр!K28+Черн!K28</f>
        <v>542.3000000000001</v>
      </c>
      <c r="L38" s="103">
        <f t="shared" si="3"/>
        <v>1.3048128342245986</v>
      </c>
      <c r="M38" s="112">
        <f>муниц!M34+'Лен '!M32+Высокор!M28+Гост!M29+Новотр!M28+Черн!M28</f>
        <v>293.20000000000005</v>
      </c>
      <c r="N38" s="112">
        <f>муниц!N34+'Лен '!N32+Высокор!N28+Гост!N29+Новотр!N28+Черн!N28</f>
        <v>249.79999999999998</v>
      </c>
      <c r="O38" s="103">
        <f t="shared" si="4"/>
        <v>1.1737389911929546</v>
      </c>
      <c r="P38" s="113"/>
      <c r="Q38" s="114"/>
      <c r="R38" s="114"/>
    </row>
    <row r="39" spans="1:18" ht="18">
      <c r="A39" s="9" t="s">
        <v>86</v>
      </c>
      <c r="B39" s="18">
        <v>1140000000</v>
      </c>
      <c r="C39" s="105">
        <f aca="true" t="shared" si="13" ref="C39:H39">SUM(C40:C41)</f>
        <v>137.5</v>
      </c>
      <c r="D39" s="105">
        <f t="shared" si="13"/>
        <v>0</v>
      </c>
      <c r="E39" s="105">
        <f t="shared" si="13"/>
        <v>137.5</v>
      </c>
      <c r="F39" s="105">
        <f t="shared" si="13"/>
        <v>0</v>
      </c>
      <c r="G39" s="105">
        <f t="shared" si="13"/>
        <v>10.5</v>
      </c>
      <c r="H39" s="105">
        <f t="shared" si="13"/>
        <v>21.300000000000004</v>
      </c>
      <c r="I39" s="99">
        <f t="shared" si="1"/>
        <v>0.15490909090909094</v>
      </c>
      <c r="J39" s="99">
        <f t="shared" si="2"/>
        <v>0</v>
      </c>
      <c r="K39" s="105">
        <f>SUM(K40:K41)</f>
        <v>210.2</v>
      </c>
      <c r="L39" s="99">
        <f t="shared" si="3"/>
        <v>0.10133206470028547</v>
      </c>
      <c r="M39" s="105">
        <f>SUM(M40:M41)</f>
        <v>10.8</v>
      </c>
      <c r="N39" s="105">
        <f>SUM(N40:N41)</f>
        <v>79.6</v>
      </c>
      <c r="O39" s="99">
        <f t="shared" si="4"/>
        <v>0.13567839195979903</v>
      </c>
      <c r="P39" s="108"/>
      <c r="Q39" s="108"/>
      <c r="R39" s="108"/>
    </row>
    <row r="40" spans="1:18" ht="18">
      <c r="A40" s="13" t="s">
        <v>31</v>
      </c>
      <c r="B40" s="13">
        <v>1140205200</v>
      </c>
      <c r="C40" s="112">
        <f>муниц!C36+'Лен '!C34+Высокор!C29+Гост!C30+Новотр!C30+Черн!C29</f>
        <v>100</v>
      </c>
      <c r="D40" s="112">
        <f>муниц!D36+'Лен '!D34+Высокор!D29+Гост!D30+Новотр!D30+Черн!D29</f>
        <v>0</v>
      </c>
      <c r="E40" s="104">
        <f t="shared" si="10"/>
        <v>100</v>
      </c>
      <c r="F40" s="112">
        <f>муниц!F36+'Лен '!F34+Высокор!F29+Гост!F30+Новотр!F30+Черн!F29</f>
        <v>0</v>
      </c>
      <c r="G40" s="112">
        <f>муниц!G36+'Лен '!G34+Высокор!G29+Гост!G30+Новотр!G30+Черн!G29</f>
        <v>7.700000000000001</v>
      </c>
      <c r="H40" s="102">
        <f>G40+M40</f>
        <v>7.700000000000001</v>
      </c>
      <c r="I40" s="103">
        <f t="shared" si="1"/>
        <v>0.07700000000000001</v>
      </c>
      <c r="J40" s="103">
        <f t="shared" si="2"/>
        <v>0</v>
      </c>
      <c r="K40" s="112">
        <f>муниц!K36+'Лен '!K34+Высокор!K29+Гост!K30+Новотр!K30+Черн!K29</f>
        <v>168.6</v>
      </c>
      <c r="L40" s="103">
        <f t="shared" si="3"/>
        <v>0.04567022538552788</v>
      </c>
      <c r="M40" s="112">
        <f>муниц!M36+'Лен '!M34+Высокор!M29+Гост!M30+Новотр!M30+Черн!M29</f>
        <v>0</v>
      </c>
      <c r="N40" s="112">
        <f>муниц!N36+'Лен '!N34+Высокор!N29+Гост!N30+Новотр!N30+Черн!N29</f>
        <v>38.6</v>
      </c>
      <c r="O40" s="103">
        <f t="shared" si="4"/>
        <v>0</v>
      </c>
      <c r="P40" s="114"/>
      <c r="Q40" s="114"/>
      <c r="R40" s="114"/>
    </row>
    <row r="41" spans="1:18" ht="18">
      <c r="A41" s="13" t="s">
        <v>32</v>
      </c>
      <c r="B41" s="13">
        <v>1140600000</v>
      </c>
      <c r="C41" s="112">
        <f>муниц!C37+'Лен '!C35+Высокор!C30+Гост!C31+Новотр!C29+Черн!C30+'Лен '!C36</f>
        <v>37.5</v>
      </c>
      <c r="D41" s="112">
        <f>муниц!D37+'Лен '!D35+Высокор!D30+Гост!D31+Новотр!D29+Черн!D30+'Лен '!D36</f>
        <v>0</v>
      </c>
      <c r="E41" s="104">
        <f t="shared" si="10"/>
        <v>37.5</v>
      </c>
      <c r="F41" s="112">
        <f>муниц!F37+'Лен '!F35+Высокор!F30+Гост!F31+Новотр!F29+Черн!F30</f>
        <v>0</v>
      </c>
      <c r="G41" s="112">
        <f>муниц!G37+'Лен '!G35+Высокор!G30+Гост!G31+Новотр!G29+Черн!G30+'Лен '!G36</f>
        <v>2.8</v>
      </c>
      <c r="H41" s="102">
        <f>G41+M41</f>
        <v>13.600000000000001</v>
      </c>
      <c r="I41" s="103">
        <f t="shared" si="1"/>
        <v>0.3626666666666667</v>
      </c>
      <c r="J41" s="103">
        <f t="shared" si="2"/>
        <v>0</v>
      </c>
      <c r="K41" s="112">
        <f>муниц!K37+'Лен '!K35+Высокор!K30+Гост!K31+Новотр!K29+Черн!K30+'Лен '!K36</f>
        <v>41.6</v>
      </c>
      <c r="L41" s="103">
        <f t="shared" si="3"/>
        <v>0.3269230769230769</v>
      </c>
      <c r="M41" s="112">
        <f>муниц!M37+'Лен '!M35+Высокор!M30+Гост!M31+Новотр!M29+Черн!M30+'Лен '!M36</f>
        <v>10.8</v>
      </c>
      <c r="N41" s="112">
        <f>муниц!N37+'Лен '!N35+Высокор!N30+Гост!N31+Новотр!N29+Черн!N30+'Лен '!N36</f>
        <v>41</v>
      </c>
      <c r="O41" s="103">
        <f t="shared" si="4"/>
        <v>0.2634146341463415</v>
      </c>
      <c r="P41" s="114"/>
      <c r="Q41" s="114"/>
      <c r="R41" s="114"/>
    </row>
    <row r="42" spans="1:18" ht="18">
      <c r="A42" s="9" t="s">
        <v>87</v>
      </c>
      <c r="B42" s="18">
        <v>1160000000</v>
      </c>
      <c r="C42" s="105">
        <f>муниц!C38+'Лен '!C37+Высокор!C31+Гост!C32+Новотр!C31+Черн!C31</f>
        <v>60.5</v>
      </c>
      <c r="D42" s="105">
        <f>муниц!D38+'Лен '!D37+Высокор!D31+Гост!D32+Новотр!D31+Черн!D31</f>
        <v>0</v>
      </c>
      <c r="E42" s="107">
        <f t="shared" si="10"/>
        <v>60.5</v>
      </c>
      <c r="F42" s="105">
        <f>муниц!F38+'Лен '!F37+Высокор!F31+Гост!F32+Новотр!F31+Черн!F31</f>
        <v>83</v>
      </c>
      <c r="G42" s="105">
        <f>муниц!G38+'Лен '!G37+Высокор!G31+Гост!G32+Новотр!G31+Черн!G31</f>
        <v>77.9</v>
      </c>
      <c r="H42" s="98">
        <f>G42+M42</f>
        <v>100.5</v>
      </c>
      <c r="I42" s="99">
        <f t="shared" si="1"/>
        <v>1.6611570247933884</v>
      </c>
      <c r="J42" s="99">
        <f t="shared" si="2"/>
        <v>1.2108433734939759</v>
      </c>
      <c r="K42" s="105">
        <f>муниц!K38+'Лен '!K37+Высокор!K31+Гост!K32+Новотр!K31+Черн!K31</f>
        <v>4221.1</v>
      </c>
      <c r="L42" s="99">
        <f t="shared" si="3"/>
        <v>0.023808959749828242</v>
      </c>
      <c r="M42" s="105">
        <f>муниц!M38+'Лен '!M37+Высокор!M31+Гост!M32+Новотр!M31+Черн!M31</f>
        <v>22.6</v>
      </c>
      <c r="N42" s="105">
        <f>муниц!N38+'Лен '!N37+Высокор!N31+Гост!N32+Новотр!N31+Черн!N31</f>
        <v>113.1</v>
      </c>
      <c r="O42" s="99">
        <f t="shared" si="4"/>
        <v>0.19982316534040676</v>
      </c>
      <c r="P42" s="108"/>
      <c r="Q42" s="108"/>
      <c r="R42" s="108"/>
    </row>
    <row r="43" spans="1:18" ht="18">
      <c r="A43" s="9" t="s">
        <v>88</v>
      </c>
      <c r="B43" s="18">
        <v>1170000000</v>
      </c>
      <c r="C43" s="105">
        <f aca="true" t="shared" si="14" ref="C43:H43">SUM(C44:C45)</f>
        <v>0</v>
      </c>
      <c r="D43" s="105">
        <f t="shared" si="14"/>
        <v>0</v>
      </c>
      <c r="E43" s="105">
        <f t="shared" si="14"/>
        <v>0</v>
      </c>
      <c r="F43" s="105">
        <f t="shared" si="14"/>
        <v>0</v>
      </c>
      <c r="G43" s="105">
        <f t="shared" si="14"/>
        <v>-1.1</v>
      </c>
      <c r="H43" s="105">
        <f t="shared" si="14"/>
        <v>124.30000000000001</v>
      </c>
      <c r="I43" s="99">
        <f t="shared" si="1"/>
        <v>0</v>
      </c>
      <c r="J43" s="99">
        <f t="shared" si="2"/>
        <v>0</v>
      </c>
      <c r="K43" s="105">
        <f>SUM(K44:K45)</f>
        <v>0.2</v>
      </c>
      <c r="L43" s="99">
        <f t="shared" si="3"/>
        <v>621.5</v>
      </c>
      <c r="M43" s="105">
        <f>SUM(M44:M45)</f>
        <v>125.4</v>
      </c>
      <c r="N43" s="105">
        <f>SUM(N44:N45)</f>
        <v>-4</v>
      </c>
      <c r="O43" s="99">
        <f t="shared" si="4"/>
        <v>0</v>
      </c>
      <c r="P43" s="105">
        <f>SUM(P44:P45)</f>
        <v>0</v>
      </c>
      <c r="Q43" s="105">
        <f>SUM(Q44:Q45)</f>
        <v>0</v>
      </c>
      <c r="R43" s="105">
        <f>SUM(R44:R45)</f>
        <v>0</v>
      </c>
    </row>
    <row r="44" spans="1:18" ht="18">
      <c r="A44" s="13" t="s">
        <v>8</v>
      </c>
      <c r="B44" s="13">
        <v>1170105005</v>
      </c>
      <c r="C44" s="100"/>
      <c r="D44" s="100"/>
      <c r="E44" s="104">
        <f>C44+D44</f>
        <v>0</v>
      </c>
      <c r="F44" s="100"/>
      <c r="G44" s="100">
        <f>муниц!G40+'Лен '!G39+Высокор!G33+Гост!G34+Новотр!G33+Черн!G33</f>
        <v>-1.1</v>
      </c>
      <c r="H44" s="102">
        <f>G44+M44</f>
        <v>123.9</v>
      </c>
      <c r="I44" s="103">
        <f t="shared" si="1"/>
        <v>0</v>
      </c>
      <c r="J44" s="103">
        <f t="shared" si="2"/>
        <v>0</v>
      </c>
      <c r="K44" s="100">
        <f>муниц!K40+'Лен '!K39+Высокор!K33+Гост!K34+Новотр!K33+Черн!K33</f>
        <v>0</v>
      </c>
      <c r="L44" s="103">
        <f t="shared" si="3"/>
        <v>0</v>
      </c>
      <c r="M44" s="100">
        <f>муниц!M40+'Лен '!M39+Высокор!M33+Гост!M34+Новотр!M33+Черн!M33</f>
        <v>125</v>
      </c>
      <c r="N44" s="100">
        <f>муниц!N40+'Лен '!N39+Высокор!N33+Гост!N34+Новотр!N33+Черн!N33</f>
        <v>-4.2</v>
      </c>
      <c r="O44" s="103">
        <f t="shared" si="4"/>
        <v>0</v>
      </c>
      <c r="P44" s="103"/>
      <c r="Q44" s="111"/>
      <c r="R44" s="111"/>
    </row>
    <row r="45" spans="1:18" ht="18">
      <c r="A45" s="13" t="s">
        <v>14</v>
      </c>
      <c r="B45" s="13">
        <v>1170505005</v>
      </c>
      <c r="C45" s="100">
        <f>муниц!C41+'Лен '!C40+Высокор!C34+Гост!C35+Новотр!C34+Черн!C34</f>
        <v>0</v>
      </c>
      <c r="D45" s="100">
        <f>муниц!D41+'Лен '!D40+Высокор!D34+Гост!D35+Новотр!D34+Черн!D34</f>
        <v>0</v>
      </c>
      <c r="E45" s="104">
        <f>C45+D45</f>
        <v>0</v>
      </c>
      <c r="F45" s="100">
        <f>муниц!F41+'Лен '!F40+Высокор!F34+Гост!F35+Новотр!F34+Черн!F34</f>
        <v>0</v>
      </c>
      <c r="G45" s="100">
        <f>муниц!G41+'Лен '!G40+Высокор!G34+Гост!G35+Новотр!G34+Черн!G34</f>
        <v>0</v>
      </c>
      <c r="H45" s="102">
        <f>G45+M45</f>
        <v>0.4</v>
      </c>
      <c r="I45" s="103">
        <f t="shared" si="1"/>
        <v>0</v>
      </c>
      <c r="J45" s="103">
        <f t="shared" si="2"/>
        <v>0</v>
      </c>
      <c r="K45" s="100">
        <f>муниц!K41+'Лен '!K40+Высокор!K34+Гост!K35+Новотр!K34+Черн!K34</f>
        <v>0.2</v>
      </c>
      <c r="L45" s="103">
        <f t="shared" si="3"/>
        <v>2</v>
      </c>
      <c r="M45" s="100">
        <f>муниц!M41+'Лен '!M40+Высокор!M34+Гост!M35+Новотр!M34+Черн!M34</f>
        <v>0.4</v>
      </c>
      <c r="N45" s="100">
        <f>муниц!N41+'Лен '!N40+Высокор!N34+Гост!N35+Новотр!N34+Черн!N34</f>
        <v>0.2</v>
      </c>
      <c r="O45" s="103">
        <f t="shared" si="4"/>
        <v>2</v>
      </c>
      <c r="P45" s="100"/>
      <c r="Q45" s="100"/>
      <c r="R45" s="100"/>
    </row>
    <row r="46" spans="1:18" ht="18">
      <c r="A46" s="16" t="s">
        <v>6</v>
      </c>
      <c r="B46" s="23">
        <v>1000000000</v>
      </c>
      <c r="C46" s="115">
        <f aca="true" t="shared" si="15" ref="C46:H46">C5+C27</f>
        <v>84504.79499999998</v>
      </c>
      <c r="D46" s="115">
        <f t="shared" si="15"/>
        <v>2437.413</v>
      </c>
      <c r="E46" s="117">
        <f t="shared" si="15"/>
        <v>86942.208</v>
      </c>
      <c r="F46" s="117" t="e">
        <f t="shared" si="15"/>
        <v>#REF!</v>
      </c>
      <c r="G46" s="118">
        <f t="shared" si="15"/>
        <v>11425.8</v>
      </c>
      <c r="H46" s="118">
        <f t="shared" si="15"/>
        <v>20794.4</v>
      </c>
      <c r="I46" s="119">
        <f t="shared" si="1"/>
        <v>0.23917497011348046</v>
      </c>
      <c r="J46" s="119" t="e">
        <f t="shared" si="2"/>
        <v>#REF!</v>
      </c>
      <c r="K46" s="116">
        <f>K5+K27</f>
        <v>21697.600000000002</v>
      </c>
      <c r="L46" s="119">
        <f t="shared" si="3"/>
        <v>0.9583732763070569</v>
      </c>
      <c r="M46" s="118">
        <f>M5+M27</f>
        <v>9368.6</v>
      </c>
      <c r="N46" s="118">
        <f>N5+N27</f>
        <v>8554.4</v>
      </c>
      <c r="O46" s="119">
        <f t="shared" si="4"/>
        <v>1.0951790891237259</v>
      </c>
      <c r="P46" s="116">
        <f>P5+P27</f>
        <v>2526.1</v>
      </c>
      <c r="Q46" s="116">
        <f>Q5+Q27</f>
        <v>4263.3</v>
      </c>
      <c r="R46" s="116">
        <f>R5+R27</f>
        <v>3140.7</v>
      </c>
    </row>
    <row r="47" spans="1:18" ht="18">
      <c r="A47" s="13" t="s">
        <v>36</v>
      </c>
      <c r="B47" s="21">
        <v>2000000000</v>
      </c>
      <c r="C47" s="120">
        <f>муниц!C44</f>
        <v>192170.851</v>
      </c>
      <c r="D47" s="120">
        <f>муниц!D44</f>
        <v>0</v>
      </c>
      <c r="E47" s="121">
        <f>C47+D47</f>
        <v>192170.851</v>
      </c>
      <c r="F47" s="102">
        <f>муниц!F44</f>
        <v>74695.19</v>
      </c>
      <c r="G47" s="102">
        <f>муниц!G44</f>
        <v>28726.8</v>
      </c>
      <c r="H47" s="102">
        <f>G47+M47</f>
        <v>44726</v>
      </c>
      <c r="I47" s="103">
        <f t="shared" si="1"/>
        <v>0.23274081249710446</v>
      </c>
      <c r="J47" s="103">
        <f t="shared" si="2"/>
        <v>0.5987801891929052</v>
      </c>
      <c r="K47" s="102">
        <f>муниц!K44</f>
        <v>43924.2</v>
      </c>
      <c r="L47" s="103">
        <f t="shared" si="3"/>
        <v>1.0182541742365256</v>
      </c>
      <c r="M47" s="102">
        <f>муниц!M44</f>
        <v>15999.2</v>
      </c>
      <c r="N47" s="102">
        <f>муниц!N44</f>
        <v>14719.5</v>
      </c>
      <c r="O47" s="103">
        <f t="shared" si="4"/>
        <v>1.086939094398587</v>
      </c>
      <c r="P47" s="111"/>
      <c r="Q47" s="111"/>
      <c r="R47" s="111"/>
    </row>
    <row r="48" spans="1:18" ht="18">
      <c r="A48" s="13" t="s">
        <v>46</v>
      </c>
      <c r="B48" s="24" t="s">
        <v>39</v>
      </c>
      <c r="C48" s="100">
        <f>муниц!C45+'Лен '!C44+Высокор!C38+Гост!C39+Новотр!C38+Черн!C38</f>
        <v>0</v>
      </c>
      <c r="D48" s="100">
        <f>муниц!D45+'Лен '!D44+Высокор!D38+Гост!D39+Новотр!D38+Черн!D38</f>
        <v>363.202</v>
      </c>
      <c r="E48" s="104">
        <f>C48+D48</f>
        <v>363.202</v>
      </c>
      <c r="F48" s="100">
        <f>муниц!F45+'Лен '!F44+Высокор!F38+Гост!F39+Новотр!F38+Черн!F38</f>
        <v>0</v>
      </c>
      <c r="G48" s="100">
        <f>муниц!G45+'Лен '!G44+Высокор!G38+Гост!G39+Новотр!G38+Черн!G38</f>
        <v>45.7</v>
      </c>
      <c r="H48" s="102">
        <f>G48+M48</f>
        <v>159.10000000000002</v>
      </c>
      <c r="I48" s="103">
        <f>IF(E48&gt;0,H48/E48,0)</f>
        <v>0.4380482486329922</v>
      </c>
      <c r="J48" s="103">
        <f>IF(F48&gt;0,H48/F48,0)</f>
        <v>0</v>
      </c>
      <c r="K48" s="100">
        <f>муниц!K45+'Лен '!K44+Высокор!K38+Гост!K39+Новотр!K38+Черн!K38</f>
        <v>823.1999999999999</v>
      </c>
      <c r="L48" s="103">
        <f t="shared" si="3"/>
        <v>0.19327016520894078</v>
      </c>
      <c r="M48" s="100">
        <f>муниц!M45+'Лен '!M44+Высокор!M38+Гост!M39+Новотр!M38+Черн!M38</f>
        <v>113.4</v>
      </c>
      <c r="N48" s="100">
        <f>муниц!N45+'Лен '!N44+Высокор!N38+Гост!N39+Новотр!N38+Черн!N38</f>
        <v>555.6</v>
      </c>
      <c r="O48" s="103">
        <f t="shared" si="4"/>
        <v>0.2041036717062635</v>
      </c>
      <c r="P48" s="111"/>
      <c r="Q48" s="111"/>
      <c r="R48" s="111"/>
    </row>
    <row r="49" spans="1:18" ht="20.25" customHeight="1">
      <c r="A49" s="8" t="s">
        <v>93</v>
      </c>
      <c r="B49" s="130" t="s">
        <v>94</v>
      </c>
      <c r="C49" s="100"/>
      <c r="D49" s="100">
        <f>муниц!D47+48.825</f>
        <v>-4834.887000000001</v>
      </c>
      <c r="E49" s="121">
        <f>C49+D49</f>
        <v>-4834.887000000001</v>
      </c>
      <c r="F49" s="100"/>
      <c r="G49" s="100">
        <f>муниц!G47+48.8</f>
        <v>-5083.3</v>
      </c>
      <c r="H49" s="102">
        <f>G49+M49</f>
        <v>-5144</v>
      </c>
      <c r="I49" s="103">
        <f>H49/E49</f>
        <v>1.0639338623632775</v>
      </c>
      <c r="J49" s="103"/>
      <c r="K49" s="100">
        <f>муниц!K47</f>
        <v>-212.9</v>
      </c>
      <c r="L49" s="103"/>
      <c r="M49" s="100">
        <f>муниц!M47</f>
        <v>-60.7</v>
      </c>
      <c r="N49" s="100">
        <f>муниц!N47</f>
        <v>-57.3</v>
      </c>
      <c r="O49" s="103"/>
      <c r="P49" s="111"/>
      <c r="Q49" s="111"/>
      <c r="R49" s="111"/>
    </row>
    <row r="50" spans="1:18" ht="18">
      <c r="A50" s="16" t="s">
        <v>2</v>
      </c>
      <c r="B50" s="25"/>
      <c r="C50" s="115">
        <f>C46+C47+C48</f>
        <v>276675.64599999995</v>
      </c>
      <c r="D50" s="115">
        <f>D46+D47+D48</f>
        <v>2800.615</v>
      </c>
      <c r="E50" s="115">
        <f>E46+E47+E48</f>
        <v>279476.261</v>
      </c>
      <c r="F50" s="116" t="e">
        <f>F46+F47+F48</f>
        <v>#REF!</v>
      </c>
      <c r="G50" s="118">
        <f>G46+G47+G48+G49</f>
        <v>35114.99999999999</v>
      </c>
      <c r="H50" s="118">
        <f>H46+H47+H48+H49</f>
        <v>60535.5</v>
      </c>
      <c r="I50" s="119">
        <f t="shared" si="1"/>
        <v>0.21660337011593267</v>
      </c>
      <c r="J50" s="119" t="e">
        <f t="shared" si="2"/>
        <v>#REF!</v>
      </c>
      <c r="K50" s="118">
        <f>K46+K47+K48+K49</f>
        <v>66232.1</v>
      </c>
      <c r="L50" s="119">
        <f t="shared" si="3"/>
        <v>0.9139903460708628</v>
      </c>
      <c r="M50" s="118">
        <f>M46+M47+M48+M49</f>
        <v>25420.500000000004</v>
      </c>
      <c r="N50" s="118">
        <f>N46+N47+N48+N49</f>
        <v>23772.2</v>
      </c>
      <c r="O50" s="119">
        <f t="shared" si="4"/>
        <v>1.0693372931407275</v>
      </c>
      <c r="P50" s="116">
        <f>P46+P47</f>
        <v>2526.1</v>
      </c>
      <c r="Q50" s="116">
        <f>Q46+Q47</f>
        <v>4263.3</v>
      </c>
      <c r="R50" s="116">
        <f>R46+R47</f>
        <v>3140.7</v>
      </c>
    </row>
    <row r="51" spans="2:18" ht="15">
      <c r="B51" s="26"/>
      <c r="C51" s="26"/>
      <c r="D51" s="26"/>
      <c r="E51" s="26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2:18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</sheetData>
  <sheetProtection/>
  <mergeCells count="15"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2019-04-04T07:08:30Z</cp:lastPrinted>
  <dcterms:created xsi:type="dcterms:W3CDTF">2003-11-05T12:49:21Z</dcterms:created>
  <dcterms:modified xsi:type="dcterms:W3CDTF">2019-04-17T05:32:58Z</dcterms:modified>
  <cp:category/>
  <cp:version/>
  <cp:contentType/>
  <cp:contentStatus/>
</cp:coreProperties>
</file>